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xr:revisionPtr revIDLastSave="0" documentId="8_{7AA5DE29-B095-421F-886A-631EC8B168F9}" xr6:coauthVersionLast="36" xr6:coauthVersionMax="36" xr10:uidLastSave="{00000000-0000-0000-0000-000000000000}"/>
  <bookViews>
    <workbookView xWindow="19116" yWindow="1296" windowWidth="38628" windowHeight="21228" tabRatio="795" firstSheet="13" activeTab="16" xr2:uid="{00000000-000D-0000-FFFF-FFFF00000000}"/>
  </bookViews>
  <sheets>
    <sheet name="1a. Incremental Deployment-2022" sheetId="5" r:id="rId1"/>
    <sheet name="1b. Incremental Deployment-2023" sheetId="33" r:id="rId2"/>
    <sheet name="1c. Incremental Deployment-2024" sheetId="34" r:id="rId3"/>
    <sheet name="1d. Incremental Deployment-2025" sheetId="39" r:id="rId4"/>
    <sheet name="2. Feeder Deployment Cumulative" sheetId="16" r:id="rId5"/>
    <sheet name="3a. Feeder Status-2022" sheetId="2" r:id="rId6"/>
    <sheet name="3b. Feeder Status-2023" sheetId="41" r:id="rId7"/>
    <sheet name="3c. Feeder Status-2024" sheetId="42" r:id="rId8"/>
    <sheet name="3d. Feeder Status-2025" sheetId="40" r:id="rId9"/>
    <sheet name="4a. System Status-2022" sheetId="11" r:id="rId10"/>
    <sheet name="4b. System Status-2023" sheetId="44" r:id="rId11"/>
    <sheet name="4c. System Status-2024" sheetId="45" r:id="rId12"/>
    <sheet name="4d. System Status-2025" sheetId="43" r:id="rId13"/>
    <sheet name="5a. Spending- 2022 Report " sheetId="3" r:id="rId14"/>
    <sheet name="5b. Spending- 2023 Report" sheetId="22" r:id="rId15"/>
    <sheet name="5c. Spending- 2024 Report" sheetId="28" r:id="rId16"/>
    <sheet name="5d. Spending - 2025 Report" sheetId="29" r:id="rId17"/>
    <sheet name="5.e. Spending-Cumulative" sheetId="31" r:id="rId18"/>
    <sheet name="6a. Substation Information-2022" sheetId="10" r:id="rId19"/>
    <sheet name="6b. Substation Information-2023" sheetId="46" r:id="rId20"/>
    <sheet name="6c. Substation Information-2024" sheetId="47" r:id="rId21"/>
    <sheet name="6d. Substation Information-2025" sheetId="48" r:id="rId22"/>
    <sheet name="7. DMS Power Flow" sheetId="19" r:id="rId23"/>
    <sheet name="8. Unitil CMI" sheetId="17" r:id="rId24"/>
    <sheet name="9. Pre-Investment Baselines" sheetId="27" r:id="rId25"/>
    <sheet name="Tab 10a. 2023 EJ &amp;LI" sheetId="49" r:id="rId26"/>
    <sheet name="10b. 2024 EJ&amp; LI" sheetId="50" r:id="rId27"/>
    <sheet name="10c.EJ &amp;LI- 2025" sheetId="51" r:id="rId28"/>
  </sheets>
  <definedNames>
    <definedName name="_xlnm._FilterDatabase" localSheetId="0" hidden="1">'1a. Incremental Deployment-2022'!$B$7:$AB$64</definedName>
    <definedName name="_xlnm._FilterDatabase" localSheetId="1" hidden="1">'1b. Incremental Deployment-2023'!$B$7:$AJ$65</definedName>
    <definedName name="_xlnm._FilterDatabase" localSheetId="2" hidden="1">'1c. Incremental Deployment-2024'!$B$7:$AJ$65</definedName>
    <definedName name="_xlnm._FilterDatabase" localSheetId="3" hidden="1">'1d. Incremental Deployment-2025'!$B$7:$AJ$67</definedName>
    <definedName name="_xlnm._FilterDatabase" localSheetId="4" hidden="1">'2. Feeder Deployment Cumulative'!#REF!</definedName>
    <definedName name="_xlnm._FilterDatabase" localSheetId="5" hidden="1">'3a. Feeder Status-2022'!$B$14:$AQ$71</definedName>
    <definedName name="_xlnm._FilterDatabase" localSheetId="6" hidden="1">'3b. Feeder Status-2023'!$B$14:$AS$17</definedName>
    <definedName name="_xlnm._FilterDatabase" localSheetId="7" hidden="1">'3c. Feeder Status-2024'!$B$14:$AQ$17</definedName>
    <definedName name="_xlnm._FilterDatabase" localSheetId="8" hidden="1">'3d. Feeder Status-2025'!$B$14:$AQ$17</definedName>
    <definedName name="_xlnm._FilterDatabase" localSheetId="9" hidden="1">'4a. System Status-2022'!$B$14:$H$23</definedName>
    <definedName name="_xlnm._FilterDatabase" localSheetId="10" hidden="1">'4b. System Status-2023'!$B$14:$H$23</definedName>
    <definedName name="_xlnm._FilterDatabase" localSheetId="11" hidden="1">'4c. System Status-2024'!$B$14:$H$23</definedName>
    <definedName name="_xlnm._FilterDatabase" localSheetId="12" hidden="1">'4d. System Status-2025'!$B$14:$H$23</definedName>
    <definedName name="_xlnm._FilterDatabase" localSheetId="17" hidden="1">'5.e. Spending-Cumulative'!$B$8:$G$30</definedName>
    <definedName name="_xlnm._FilterDatabase" localSheetId="13" hidden="1">'5a. Spending- 2022 Report '!$B$7:$F$29</definedName>
    <definedName name="_xlnm._FilterDatabase" localSheetId="14" hidden="1">'5b. Spending- 2023 Report'!$B$8:$L$30</definedName>
    <definedName name="_xlnm._FilterDatabase" localSheetId="15" hidden="1">'5c. Spending- 2024 Report'!$B$8:$L$30</definedName>
    <definedName name="_xlnm._FilterDatabase" localSheetId="16" hidden="1">'5d. Spending - 2025 Report'!$B$8:$L$30</definedName>
    <definedName name="_xlnm._FilterDatabase" localSheetId="18" hidden="1">'6a. Substation Information-2022'!$B$6:$I$6</definedName>
    <definedName name="_xlnm._FilterDatabase" localSheetId="19" hidden="1">'6b. Substation Information-2023'!$B$6:$I$6</definedName>
    <definedName name="_xlnm._FilterDatabase" localSheetId="20" hidden="1">'6c. Substation Information-2024'!$B$6:$I$6</definedName>
    <definedName name="_xlnm._FilterDatabase" localSheetId="21" hidden="1">'6d. Substation Information-2025'!$B$6:$I$6</definedName>
    <definedName name="_xlnm._FilterDatabase" localSheetId="24" hidden="1">'9. Pre-Investment Baselines'!$B$8:$AK$66</definedName>
    <definedName name="_ftn1" localSheetId="5">'3a. Feeder Status-2022'!#REF!</definedName>
    <definedName name="_ftn1" localSheetId="6">'3b. Feeder Status-2023'!#REF!</definedName>
    <definedName name="_ftn1" localSheetId="7">'3c. Feeder Status-2024'!#REF!</definedName>
    <definedName name="_ftn1" localSheetId="8">'3d. Feeder Status-2025'!#REF!</definedName>
    <definedName name="_ftn1" localSheetId="24">'9. Pre-Investment Baselines'!#REF!</definedName>
    <definedName name="_ftnref1" localSheetId="5">'3a. Feeder Status-2022'!#REF!</definedName>
    <definedName name="_ftnref1" localSheetId="6">'3b. Feeder Status-2023'!#REF!</definedName>
    <definedName name="_ftnref1" localSheetId="7">'3c. Feeder Status-2024'!#REF!</definedName>
    <definedName name="_ftnref1" localSheetId="8">'3d. Feeder Status-2025'!#REF!</definedName>
    <definedName name="_ftnref1" localSheetId="24">'9. Pre-Investment Baselines'!#REF!</definedName>
    <definedName name="_xlnm.Print_Area" localSheetId="5">'3a. Feeder Status-2022'!$B$1:$CG$95</definedName>
    <definedName name="_xlnm.Print_Area" localSheetId="6">'3b. Feeder Status-2023'!$B$1:$CI$47</definedName>
    <definedName name="_xlnm.Print_Area" localSheetId="7">'3c. Feeder Status-2024'!$B$1:$CF$47</definedName>
    <definedName name="_xlnm.Print_Area" localSheetId="8">'3d. Feeder Status-2025'!$B$1:$CF$47</definedName>
    <definedName name="_xlnm.Print_Area" localSheetId="9">'4a. System Status-2022'!$A$1:$Q$28</definedName>
    <definedName name="_xlnm.Print_Area" localSheetId="10">'4b. System Status-2023'!$A$1:$Q$28</definedName>
    <definedName name="_xlnm.Print_Area" localSheetId="11">'4c. System Status-2024'!$A$1:$Q$28</definedName>
    <definedName name="_xlnm.Print_Area" localSheetId="12">'4d. System Status-2025'!$A$1:$Q$28</definedName>
  </definedNames>
  <calcPr calcId="191029"/>
</workbook>
</file>

<file path=xl/calcChain.xml><?xml version="1.0" encoding="utf-8"?>
<calcChain xmlns="http://schemas.openxmlformats.org/spreadsheetml/2006/main">
  <c r="F65" i="49" l="1"/>
  <c r="F64" i="49"/>
  <c r="F62" i="49"/>
  <c r="F61" i="49"/>
  <c r="L59" i="49"/>
  <c r="F57" i="49"/>
  <c r="F56" i="49"/>
  <c r="F55" i="49"/>
  <c r="F54" i="49"/>
  <c r="F52" i="49"/>
  <c r="F51" i="49"/>
  <c r="F49" i="49"/>
  <c r="F47" i="49"/>
  <c r="F46" i="49"/>
  <c r="F45" i="49"/>
  <c r="F43" i="49"/>
  <c r="L43" i="49" s="1"/>
  <c r="F42" i="49"/>
  <c r="L42" i="49" s="1"/>
  <c r="F40" i="49"/>
  <c r="L40" i="49" s="1"/>
  <c r="F39" i="49"/>
  <c r="F38" i="49"/>
  <c r="F36" i="49"/>
  <c r="F35" i="49"/>
  <c r="F34" i="49"/>
  <c r="F33" i="49"/>
  <c r="F32" i="49"/>
  <c r="F31" i="49"/>
  <c r="F30" i="49"/>
  <c r="F29" i="49"/>
  <c r="F28" i="49"/>
  <c r="F26" i="49"/>
  <c r="L26" i="49" s="1"/>
  <c r="F24" i="49"/>
  <c r="L24" i="49" s="1"/>
  <c r="F22" i="49"/>
  <c r="L22" i="49" s="1"/>
  <c r="F21" i="49"/>
  <c r="F20" i="49"/>
  <c r="F19" i="49"/>
  <c r="F17" i="49"/>
  <c r="L17" i="49" s="1"/>
  <c r="F16" i="49"/>
  <c r="L16" i="49" s="1"/>
  <c r="F15" i="49"/>
  <c r="L15" i="49" s="1"/>
  <c r="F13" i="49"/>
  <c r="F12" i="49"/>
  <c r="F11" i="49"/>
  <c r="F10" i="49"/>
  <c r="L63" i="49"/>
  <c r="L58" i="49"/>
  <c r="L57" i="49"/>
  <c r="L32" i="49"/>
  <c r="L56" i="49"/>
  <c r="L55" i="49"/>
  <c r="L54" i="49"/>
  <c r="L52" i="49"/>
  <c r="L51" i="49"/>
  <c r="L46" i="49"/>
  <c r="L45" i="49"/>
  <c r="L39" i="49"/>
  <c r="L38" i="49"/>
  <c r="L13" i="49"/>
  <c r="L12" i="49"/>
  <c r="L11" i="49"/>
  <c r="L28" i="49" l="1"/>
  <c r="L29" i="49"/>
  <c r="L30" i="49"/>
  <c r="L31" i="49"/>
  <c r="L61" i="49"/>
  <c r="L33" i="49"/>
  <c r="L62" i="49"/>
  <c r="L34" i="49"/>
  <c r="L64" i="49"/>
  <c r="L35" i="49"/>
  <c r="L65" i="49"/>
  <c r="L36" i="49"/>
  <c r="L19" i="49"/>
  <c r="L20" i="49"/>
  <c r="L47" i="49"/>
  <c r="L21" i="49"/>
  <c r="L49" i="49"/>
  <c r="L10" i="49"/>
  <c r="R40" i="22"/>
  <c r="D84" i="22"/>
  <c r="D55" i="22" l="1"/>
  <c r="D57" i="22"/>
  <c r="H22" i="22"/>
  <c r="BN72" i="41" l="1"/>
  <c r="BN61" i="41" l="1"/>
  <c r="BN70" i="41"/>
  <c r="BN69" i="41"/>
  <c r="BN67" i="41"/>
  <c r="BN66" i="41"/>
  <c r="BN62" i="41"/>
  <c r="BN60" i="41"/>
  <c r="BN59" i="41"/>
  <c r="BN57" i="41"/>
  <c r="BN56" i="41"/>
  <c r="BN54" i="41"/>
  <c r="BN52" i="41"/>
  <c r="BN51" i="41"/>
  <c r="BN50" i="41"/>
  <c r="BN48" i="41"/>
  <c r="BN47" i="41"/>
  <c r="BN45" i="41"/>
  <c r="BN44" i="41"/>
  <c r="BN43" i="41"/>
  <c r="BN41" i="41"/>
  <c r="BN40" i="41"/>
  <c r="BN39" i="41"/>
  <c r="BN38" i="41"/>
  <c r="BN37" i="41"/>
  <c r="BN36" i="41"/>
  <c r="BN35" i="41"/>
  <c r="BN34" i="41"/>
  <c r="BN33" i="41"/>
  <c r="BN29" i="41"/>
  <c r="BN27" i="41"/>
  <c r="BN26" i="41"/>
  <c r="BN25" i="41"/>
  <c r="BN22" i="41"/>
  <c r="BN21" i="41"/>
  <c r="BN20" i="41"/>
  <c r="BN18" i="41"/>
  <c r="BN17" i="41"/>
  <c r="BN16" i="41"/>
  <c r="BN15" i="41"/>
  <c r="BL44" i="2"/>
  <c r="BL43" i="2"/>
  <c r="BL42" i="2"/>
  <c r="BL41" i="2"/>
  <c r="BL40" i="2"/>
  <c r="BL39" i="2"/>
  <c r="BL38" i="2"/>
  <c r="BL37" i="2"/>
  <c r="BL36" i="2"/>
  <c r="BL35" i="2"/>
  <c r="BL34" i="2"/>
  <c r="BL33" i="2"/>
  <c r="BL32" i="2"/>
  <c r="BL31" i="2"/>
  <c r="BL30" i="2"/>
  <c r="BL29" i="2"/>
  <c r="BL28" i="2"/>
  <c r="BL27" i="2"/>
  <c r="BL26" i="2"/>
  <c r="BL25" i="2"/>
  <c r="BL24" i="2"/>
  <c r="BL23" i="2"/>
  <c r="BL22" i="2"/>
  <c r="BL21" i="2"/>
  <c r="BL20" i="2"/>
  <c r="BL19" i="2"/>
  <c r="BL18" i="2"/>
  <c r="BL17" i="2"/>
  <c r="BL16" i="2"/>
  <c r="BL15" i="2"/>
  <c r="BL71" i="2"/>
  <c r="BL70" i="2"/>
  <c r="BL69" i="2"/>
  <c r="BL68" i="2"/>
  <c r="BL67" i="2"/>
  <c r="BL66" i="2"/>
  <c r="BL65" i="2"/>
  <c r="BL64" i="2"/>
  <c r="BL63" i="2"/>
  <c r="BL62" i="2"/>
  <c r="BL61" i="2"/>
  <c r="BL60" i="2"/>
  <c r="BL59" i="2"/>
  <c r="BL58" i="2"/>
  <c r="BL57" i="2"/>
  <c r="BL56" i="2"/>
  <c r="BL55" i="2"/>
  <c r="BL54" i="2"/>
  <c r="BL53" i="2"/>
  <c r="BL52" i="2"/>
  <c r="BL51" i="2"/>
  <c r="BL50" i="2"/>
  <c r="BL49" i="2"/>
  <c r="BL48" i="2"/>
  <c r="BL47" i="2"/>
  <c r="BL46" i="2"/>
  <c r="BL45" i="2"/>
  <c r="BK27" i="41"/>
  <c r="BK26" i="41"/>
  <c r="BK25" i="41"/>
  <c r="BC27" i="41"/>
  <c r="BC26" i="41"/>
  <c r="BC25" i="41"/>
  <c r="I20" i="46" l="1"/>
  <c r="BG72" i="41"/>
  <c r="BE72" i="41"/>
  <c r="BC72" i="41"/>
  <c r="BF71" i="41"/>
  <c r="BD71" i="41"/>
  <c r="BF70" i="41"/>
  <c r="BD70" i="41"/>
  <c r="BB70" i="41"/>
  <c r="BF69" i="41"/>
  <c r="BD69" i="41"/>
  <c r="BB69" i="41"/>
  <c r="BF68" i="41"/>
  <c r="BD68" i="41"/>
  <c r="BF67" i="41"/>
  <c r="BD67" i="41"/>
  <c r="BB67" i="41"/>
  <c r="BF66" i="41"/>
  <c r="BD66" i="41"/>
  <c r="BB66" i="41"/>
  <c r="BF65" i="41"/>
  <c r="BD65" i="41"/>
  <c r="BF64" i="41"/>
  <c r="BD64" i="41"/>
  <c r="BF63" i="41"/>
  <c r="BD63" i="41"/>
  <c r="BF62" i="41"/>
  <c r="BD62" i="41"/>
  <c r="BB62" i="41"/>
  <c r="BF61" i="41"/>
  <c r="BD61" i="41"/>
  <c r="BB61" i="41"/>
  <c r="BF60" i="41"/>
  <c r="BD60" i="41"/>
  <c r="BB60" i="41"/>
  <c r="BF59" i="41"/>
  <c r="BD59" i="41"/>
  <c r="BB59" i="41"/>
  <c r="BF58" i="41"/>
  <c r="BD58" i="41"/>
  <c r="BF57" i="41"/>
  <c r="BD57" i="41"/>
  <c r="BB57" i="41"/>
  <c r="BF56" i="41"/>
  <c r="BD56" i="41"/>
  <c r="BB56" i="41"/>
  <c r="BF55" i="41"/>
  <c r="BD55" i="41"/>
  <c r="BF54" i="41"/>
  <c r="BD54" i="41"/>
  <c r="BB54" i="41"/>
  <c r="BF53" i="41"/>
  <c r="BD53" i="41"/>
  <c r="BF52" i="41"/>
  <c r="BD52" i="41"/>
  <c r="BB52" i="41"/>
  <c r="BF51" i="41"/>
  <c r="BD51" i="41"/>
  <c r="BB51" i="41"/>
  <c r="BF50" i="41"/>
  <c r="BD50" i="41"/>
  <c r="BB50" i="41"/>
  <c r="BF49" i="41"/>
  <c r="BD49" i="41"/>
  <c r="BF48" i="41"/>
  <c r="BD48" i="41"/>
  <c r="BB48" i="41"/>
  <c r="BF47" i="41"/>
  <c r="BD47" i="41"/>
  <c r="BB47" i="41"/>
  <c r="BF46" i="41"/>
  <c r="BD46" i="41"/>
  <c r="BF45" i="41"/>
  <c r="BD45" i="41"/>
  <c r="BB45" i="41"/>
  <c r="BF44" i="41"/>
  <c r="BD44" i="41"/>
  <c r="BB44" i="41"/>
  <c r="BF43" i="41"/>
  <c r="BD43" i="41"/>
  <c r="BB43" i="41"/>
  <c r="BF42" i="41"/>
  <c r="BD42" i="41"/>
  <c r="BF41" i="41"/>
  <c r="BD41" i="41"/>
  <c r="BB41" i="41"/>
  <c r="BF40" i="41"/>
  <c r="BD40" i="41"/>
  <c r="BF39" i="41"/>
  <c r="BD39" i="41"/>
  <c r="BF38" i="41"/>
  <c r="BD38" i="41"/>
  <c r="BF37" i="41"/>
  <c r="BD37" i="41"/>
  <c r="BF36" i="41"/>
  <c r="BD36" i="41"/>
  <c r="BF35" i="41"/>
  <c r="BD35" i="41"/>
  <c r="BB35" i="41"/>
  <c r="BF34" i="41"/>
  <c r="BD34" i="41"/>
  <c r="BF33" i="41"/>
  <c r="BD33" i="41"/>
  <c r="BB33" i="41"/>
  <c r="BF32" i="41"/>
  <c r="BD32" i="41"/>
  <c r="BF31" i="41"/>
  <c r="BD31" i="41"/>
  <c r="BB31" i="41"/>
  <c r="BF30" i="41"/>
  <c r="BD30" i="41"/>
  <c r="BF29" i="41"/>
  <c r="BD29" i="41"/>
  <c r="BB29" i="41"/>
  <c r="BF28" i="41"/>
  <c r="BD28" i="41"/>
  <c r="BF27" i="41"/>
  <c r="BD27" i="41"/>
  <c r="BB27" i="41"/>
  <c r="BF26" i="41"/>
  <c r="BD26" i="41"/>
  <c r="BB26" i="41"/>
  <c r="BF25" i="41"/>
  <c r="BD25" i="41"/>
  <c r="BB25" i="41"/>
  <c r="BF24" i="41"/>
  <c r="BD24" i="41"/>
  <c r="BF23" i="41"/>
  <c r="BD23" i="41"/>
  <c r="BF22" i="41"/>
  <c r="BD22" i="41"/>
  <c r="BB22" i="41"/>
  <c r="BF21" i="41"/>
  <c r="BD21" i="41"/>
  <c r="BB21" i="41"/>
  <c r="BF20" i="41"/>
  <c r="BD20" i="41"/>
  <c r="BB20" i="41"/>
  <c r="BF19" i="41"/>
  <c r="BD19" i="41"/>
  <c r="BF18" i="41"/>
  <c r="BD18" i="41"/>
  <c r="BB18" i="41"/>
  <c r="BF17" i="41"/>
  <c r="BD17" i="41"/>
  <c r="BB17" i="41"/>
  <c r="BF16" i="41"/>
  <c r="BD16" i="41"/>
  <c r="BD72" i="41" s="1"/>
  <c r="BB16" i="41"/>
  <c r="BF15" i="41"/>
  <c r="BF72" i="41" s="1"/>
  <c r="BD15" i="41"/>
  <c r="BB15" i="41"/>
  <c r="P73" i="41"/>
  <c r="N73" i="41"/>
  <c r="BB72" i="41" l="1"/>
  <c r="H19" i="46"/>
  <c r="H18" i="46"/>
  <c r="H17" i="46"/>
  <c r="H16" i="46"/>
  <c r="H15" i="46"/>
  <c r="H14" i="46"/>
  <c r="H13" i="46"/>
  <c r="H12" i="46"/>
  <c r="H9" i="46"/>
  <c r="H8" i="46"/>
  <c r="H7" i="46"/>
  <c r="H10" i="46"/>
  <c r="G15" i="46"/>
  <c r="G19" i="46"/>
  <c r="G18" i="46"/>
  <c r="G17" i="46"/>
  <c r="G16" i="46"/>
  <c r="G14" i="46"/>
  <c r="G13" i="46"/>
  <c r="F20" i="46"/>
  <c r="A20" i="46"/>
  <c r="A19" i="46"/>
  <c r="A18" i="46"/>
  <c r="A17" i="46"/>
  <c r="A16" i="46"/>
  <c r="A15" i="46"/>
  <c r="A14" i="46"/>
  <c r="A13" i="46"/>
  <c r="G12" i="46"/>
  <c r="A12" i="46"/>
  <c r="A11" i="46"/>
  <c r="G10" i="46"/>
  <c r="A10" i="46"/>
  <c r="G9" i="46"/>
  <c r="A9" i="46"/>
  <c r="G8" i="46"/>
  <c r="A8" i="46"/>
  <c r="G7" i="46"/>
  <c r="A7" i="46"/>
  <c r="G12" i="47"/>
  <c r="G10" i="47"/>
  <c r="G9" i="47"/>
  <c r="G8" i="47"/>
  <c r="G7" i="47"/>
  <c r="F20" i="47"/>
  <c r="A20" i="47"/>
  <c r="A19" i="47"/>
  <c r="A18" i="47"/>
  <c r="A17" i="47"/>
  <c r="A16" i="47"/>
  <c r="A15" i="47"/>
  <c r="A14" i="47"/>
  <c r="A13" i="47"/>
  <c r="A12" i="47"/>
  <c r="A11" i="47"/>
  <c r="A10" i="47"/>
  <c r="A9" i="47"/>
  <c r="A8" i="47"/>
  <c r="A7" i="47"/>
  <c r="J21" i="44"/>
  <c r="J19" i="44"/>
  <c r="J17" i="44"/>
  <c r="J15" i="44"/>
  <c r="H20" i="46" l="1"/>
  <c r="G20" i="46"/>
  <c r="G20" i="47"/>
  <c r="BJ71" i="41" l="1"/>
  <c r="BJ70" i="41"/>
  <c r="BJ69" i="41"/>
  <c r="BJ68" i="41"/>
  <c r="BJ67" i="41"/>
  <c r="BJ66" i="41"/>
  <c r="BJ65" i="41"/>
  <c r="BJ64" i="41"/>
  <c r="BJ63" i="41"/>
  <c r="BJ62" i="41"/>
  <c r="BJ61" i="41"/>
  <c r="BJ60" i="41"/>
  <c r="BJ59" i="41"/>
  <c r="BJ58" i="41"/>
  <c r="BJ57" i="41"/>
  <c r="BJ56" i="41"/>
  <c r="BJ55" i="41"/>
  <c r="BJ54" i="41"/>
  <c r="BJ53" i="41"/>
  <c r="BJ52" i="41"/>
  <c r="BJ51" i="41"/>
  <c r="BJ50" i="41"/>
  <c r="BJ49" i="41"/>
  <c r="BJ48" i="41"/>
  <c r="BJ47" i="41"/>
  <c r="BJ46" i="41"/>
  <c r="BJ45" i="41"/>
  <c r="BJ44" i="41"/>
  <c r="BJ43" i="41"/>
  <c r="BJ42" i="41"/>
  <c r="BJ41" i="41"/>
  <c r="BJ40" i="41"/>
  <c r="BJ39" i="41"/>
  <c r="BJ38" i="41"/>
  <c r="BJ37" i="41"/>
  <c r="BJ36" i="41"/>
  <c r="BJ35" i="41"/>
  <c r="BJ34" i="41"/>
  <c r="BJ33" i="41"/>
  <c r="BJ32" i="41"/>
  <c r="BJ31" i="41"/>
  <c r="BJ30" i="41"/>
  <c r="BJ29" i="41"/>
  <c r="BJ28" i="41"/>
  <c r="BJ27" i="41"/>
  <c r="BJ26" i="41"/>
  <c r="BJ25" i="41"/>
  <c r="BJ24" i="41"/>
  <c r="BJ23" i="41"/>
  <c r="BJ22" i="41"/>
  <c r="BJ21" i="41"/>
  <c r="BJ20" i="41"/>
  <c r="BJ19" i="41"/>
  <c r="BJ18" i="41"/>
  <c r="BJ17" i="41"/>
  <c r="BJ16" i="41"/>
  <c r="BJ15" i="41"/>
  <c r="H21" i="44"/>
  <c r="G21" i="44"/>
  <c r="F21" i="44"/>
  <c r="H19" i="44"/>
  <c r="G19" i="44"/>
  <c r="F19" i="44"/>
  <c r="G17" i="44"/>
  <c r="H17" i="44"/>
  <c r="H18" i="44" s="1"/>
  <c r="F17" i="44"/>
  <c r="H15" i="44"/>
  <c r="G15" i="44"/>
  <c r="F15" i="44"/>
  <c r="Z39" i="41"/>
  <c r="X39" i="41"/>
  <c r="V39" i="41"/>
  <c r="Z70" i="41"/>
  <c r="Z69" i="41"/>
  <c r="Z68" i="41"/>
  <c r="Z67" i="41"/>
  <c r="Z66" i="41"/>
  <c r="Z64" i="41"/>
  <c r="Z63" i="41"/>
  <c r="Z62" i="41"/>
  <c r="Z61" i="41"/>
  <c r="Z60" i="41"/>
  <c r="Z59" i="41"/>
  <c r="Z57" i="41"/>
  <c r="Z56" i="41"/>
  <c r="Z54" i="41"/>
  <c r="Z52" i="41"/>
  <c r="Z51" i="41"/>
  <c r="Z50" i="41"/>
  <c r="Z48" i="41"/>
  <c r="Z47" i="41"/>
  <c r="Z45" i="41"/>
  <c r="Z44" i="41"/>
  <c r="Z43" i="41"/>
  <c r="Z41" i="41"/>
  <c r="Z40" i="41"/>
  <c r="Z38" i="41"/>
  <c r="Z37" i="41"/>
  <c r="Z36" i="41"/>
  <c r="Z35" i="41"/>
  <c r="Z34" i="41"/>
  <c r="Z33" i="41"/>
  <c r="Z31" i="41"/>
  <c r="Z29" i="41"/>
  <c r="Z27" i="41"/>
  <c r="Z26" i="41"/>
  <c r="Z25" i="41"/>
  <c r="Z22" i="41"/>
  <c r="Z21" i="41"/>
  <c r="Z20" i="41"/>
  <c r="Z18" i="41"/>
  <c r="Z17" i="41"/>
  <c r="Z16" i="41"/>
  <c r="Z15" i="41"/>
  <c r="X70" i="41"/>
  <c r="X69" i="41"/>
  <c r="X68" i="41"/>
  <c r="X67" i="41"/>
  <c r="X66" i="41"/>
  <c r="X64" i="41"/>
  <c r="X63" i="41"/>
  <c r="X62" i="41"/>
  <c r="X61" i="41"/>
  <c r="X60" i="41"/>
  <c r="X59" i="41"/>
  <c r="X57" i="41"/>
  <c r="X56" i="41"/>
  <c r="X54" i="41"/>
  <c r="X52" i="41"/>
  <c r="X51" i="41"/>
  <c r="X50" i="41"/>
  <c r="X48" i="41"/>
  <c r="X47" i="41"/>
  <c r="X45" i="41"/>
  <c r="X44" i="41"/>
  <c r="X43" i="41"/>
  <c r="X41" i="41"/>
  <c r="X40" i="41"/>
  <c r="X38" i="41"/>
  <c r="X37" i="41"/>
  <c r="X36" i="41"/>
  <c r="X35" i="41"/>
  <c r="X34" i="41"/>
  <c r="X33" i="41"/>
  <c r="X31" i="41"/>
  <c r="X29" i="41"/>
  <c r="X27" i="41"/>
  <c r="X26" i="41"/>
  <c r="X25" i="41"/>
  <c r="X24" i="41"/>
  <c r="X22" i="41"/>
  <c r="X21" i="41"/>
  <c r="X20" i="41"/>
  <c r="X18" i="41"/>
  <c r="X17" i="41"/>
  <c r="X16" i="41"/>
  <c r="X15" i="41"/>
  <c r="V70" i="41"/>
  <c r="V69" i="41"/>
  <c r="V68" i="41"/>
  <c r="V67" i="41"/>
  <c r="V66" i="41"/>
  <c r="V64" i="41"/>
  <c r="V63" i="41"/>
  <c r="V62" i="41"/>
  <c r="V61" i="41"/>
  <c r="V60" i="41"/>
  <c r="V59" i="41"/>
  <c r="V57" i="41"/>
  <c r="V56" i="41"/>
  <c r="V54" i="41"/>
  <c r="V52" i="41"/>
  <c r="V51" i="41"/>
  <c r="V50" i="41"/>
  <c r="V48" i="41"/>
  <c r="V47" i="41"/>
  <c r="V45" i="41"/>
  <c r="V44" i="41"/>
  <c r="V43" i="41"/>
  <c r="V41" i="41"/>
  <c r="V40" i="41"/>
  <c r="V38" i="41"/>
  <c r="V37" i="41"/>
  <c r="V36" i="41"/>
  <c r="V35" i="41"/>
  <c r="V34" i="41"/>
  <c r="V33" i="41"/>
  <c r="V31" i="41"/>
  <c r="V29" i="41"/>
  <c r="V27" i="41"/>
  <c r="V26" i="41"/>
  <c r="V25" i="41"/>
  <c r="V24" i="41"/>
  <c r="V22" i="41"/>
  <c r="V21" i="41"/>
  <c r="V20" i="41"/>
  <c r="V18" i="41"/>
  <c r="V17" i="41"/>
  <c r="V16" i="41"/>
  <c r="V15" i="41"/>
  <c r="T70" i="41"/>
  <c r="T69" i="41"/>
  <c r="T68" i="41"/>
  <c r="T67" i="41"/>
  <c r="T66" i="41"/>
  <c r="T64" i="41"/>
  <c r="T63" i="41"/>
  <c r="T62" i="41"/>
  <c r="T61" i="41"/>
  <c r="T60" i="41"/>
  <c r="T59" i="41"/>
  <c r="T57" i="41"/>
  <c r="T56" i="41"/>
  <c r="T54" i="41"/>
  <c r="T52" i="41"/>
  <c r="T51" i="41"/>
  <c r="T50" i="41"/>
  <c r="T48" i="41"/>
  <c r="T47" i="41"/>
  <c r="T45" i="41"/>
  <c r="T44" i="41"/>
  <c r="T43" i="41"/>
  <c r="T41" i="41"/>
  <c r="T40" i="41"/>
  <c r="T38" i="41"/>
  <c r="T37" i="41"/>
  <c r="T36" i="41"/>
  <c r="T35" i="41"/>
  <c r="T34" i="41"/>
  <c r="T33" i="41"/>
  <c r="T31" i="41"/>
  <c r="T29" i="41"/>
  <c r="T27" i="41"/>
  <c r="T26" i="41"/>
  <c r="T25" i="41"/>
  <c r="T24" i="41"/>
  <c r="T22" i="41"/>
  <c r="T21" i="41"/>
  <c r="T20" i="41"/>
  <c r="T18" i="41"/>
  <c r="T17" i="41"/>
  <c r="T16" i="41"/>
  <c r="T15" i="41"/>
  <c r="AG70" i="41"/>
  <c r="AE70" i="41"/>
  <c r="AC70" i="41"/>
  <c r="AG69" i="41"/>
  <c r="AE69" i="41"/>
  <c r="AG68" i="41"/>
  <c r="AE68" i="41"/>
  <c r="AC68" i="41"/>
  <c r="AA68" i="41"/>
  <c r="AG67" i="41"/>
  <c r="AE67" i="41"/>
  <c r="AC67" i="41"/>
  <c r="AA67" i="41"/>
  <c r="AG66" i="41"/>
  <c r="AE66" i="41"/>
  <c r="AC66" i="41"/>
  <c r="AG64" i="41"/>
  <c r="AE64" i="41"/>
  <c r="AC64" i="41"/>
  <c r="AA64" i="41"/>
  <c r="AG63" i="41"/>
  <c r="AE63" i="41"/>
  <c r="AC63" i="41"/>
  <c r="AA63" i="41"/>
  <c r="AG62" i="41"/>
  <c r="AE62" i="41"/>
  <c r="AC62" i="41"/>
  <c r="AA62" i="41"/>
  <c r="AG61" i="41"/>
  <c r="AC61" i="41"/>
  <c r="AG60" i="41"/>
  <c r="AE60" i="41"/>
  <c r="AC60" i="41"/>
  <c r="AG59" i="41"/>
  <c r="AE59" i="41"/>
  <c r="AC59" i="41"/>
  <c r="AG57" i="41"/>
  <c r="AC57" i="41"/>
  <c r="AG56" i="41"/>
  <c r="AC56" i="41"/>
  <c r="AG54" i="41"/>
  <c r="AE54" i="41"/>
  <c r="AC54" i="41"/>
  <c r="AG52" i="41"/>
  <c r="AC52" i="41"/>
  <c r="AG51" i="41"/>
  <c r="AC51" i="41"/>
  <c r="AG50" i="41"/>
  <c r="AC50" i="41"/>
  <c r="AG48" i="41"/>
  <c r="AC48" i="41"/>
  <c r="AG47" i="41"/>
  <c r="AC47" i="41"/>
  <c r="AG45" i="41"/>
  <c r="AE45" i="41"/>
  <c r="AC45" i="41"/>
  <c r="AA45" i="41"/>
  <c r="AG44" i="41"/>
  <c r="AE44" i="41"/>
  <c r="AC44" i="41"/>
  <c r="AG43" i="41"/>
  <c r="AC43" i="41"/>
  <c r="AG41" i="41"/>
  <c r="AE41" i="41"/>
  <c r="AC41" i="41"/>
  <c r="AA41" i="41"/>
  <c r="AG40" i="41"/>
  <c r="AE40" i="41"/>
  <c r="AC40" i="41"/>
  <c r="AA40" i="41"/>
  <c r="AG39" i="41"/>
  <c r="AE39" i="41"/>
  <c r="AC39" i="41"/>
  <c r="AG38" i="41"/>
  <c r="AE38" i="41"/>
  <c r="AC38" i="41"/>
  <c r="AA38" i="41"/>
  <c r="AG37" i="41"/>
  <c r="AE37" i="41"/>
  <c r="AC37" i="41"/>
  <c r="AA37" i="41"/>
  <c r="AG36" i="41"/>
  <c r="AE36" i="41"/>
  <c r="AC36" i="41"/>
  <c r="AA36" i="41"/>
  <c r="AG35" i="41"/>
  <c r="AE35" i="41"/>
  <c r="AC35" i="41"/>
  <c r="AA35" i="41"/>
  <c r="AG34" i="41"/>
  <c r="AE34" i="41"/>
  <c r="AC34" i="41"/>
  <c r="AA34" i="41"/>
  <c r="AG33" i="41"/>
  <c r="AE33" i="41"/>
  <c r="AG31" i="41"/>
  <c r="AE31" i="41"/>
  <c r="AC31" i="41"/>
  <c r="AA31" i="41"/>
  <c r="AG29" i="41"/>
  <c r="AC29" i="41"/>
  <c r="AG27" i="41"/>
  <c r="AE27" i="41"/>
  <c r="AC27" i="41"/>
  <c r="AG26" i="41"/>
  <c r="AC26" i="41"/>
  <c r="AG25" i="41"/>
  <c r="AE25" i="41"/>
  <c r="AC25" i="41"/>
  <c r="AA25" i="41"/>
  <c r="AE24" i="41"/>
  <c r="AC24" i="41"/>
  <c r="AA24" i="41"/>
  <c r="AG22" i="41"/>
  <c r="AE22" i="41"/>
  <c r="AC22" i="41"/>
  <c r="AG21" i="41"/>
  <c r="AE21" i="41"/>
  <c r="AC21" i="41"/>
  <c r="AG20" i="41"/>
  <c r="AE20" i="41"/>
  <c r="AC20" i="41"/>
  <c r="AG18" i="41"/>
  <c r="AE18" i="41"/>
  <c r="AC18" i="41"/>
  <c r="AA18" i="41"/>
  <c r="H20" i="44" l="1"/>
  <c r="F18" i="44"/>
  <c r="G18" i="44"/>
  <c r="F20" i="44"/>
  <c r="G20" i="44"/>
  <c r="H22" i="44"/>
  <c r="F22" i="44"/>
  <c r="G22" i="44"/>
  <c r="I35" i="31"/>
  <c r="H35" i="31"/>
  <c r="G35" i="31"/>
  <c r="F35" i="31"/>
  <c r="E35" i="31"/>
  <c r="D35" i="31"/>
  <c r="E21" i="44" l="1"/>
  <c r="D21" i="44"/>
  <c r="C21" i="44"/>
  <c r="J22" i="44" s="1"/>
  <c r="E19" i="44"/>
  <c r="D19" i="44"/>
  <c r="C19" i="44"/>
  <c r="E17" i="44"/>
  <c r="D17" i="44"/>
  <c r="C17" i="44"/>
  <c r="E15" i="44"/>
  <c r="C15" i="44"/>
  <c r="J20" i="44" l="1"/>
  <c r="C16" i="44"/>
  <c r="J16" i="44"/>
  <c r="F16" i="44"/>
  <c r="H16" i="44"/>
  <c r="G16" i="44"/>
  <c r="C20" i="44"/>
  <c r="D16" i="44"/>
  <c r="C18" i="44"/>
  <c r="J18" i="44"/>
  <c r="E20" i="44"/>
  <c r="D18" i="44"/>
  <c r="D22" i="44"/>
  <c r="E22" i="44"/>
  <c r="E18" i="44"/>
  <c r="E16" i="44"/>
  <c r="C22" i="44"/>
  <c r="D20" i="44"/>
  <c r="K65" i="5" l="1"/>
  <c r="K65" i="34"/>
  <c r="K65" i="39"/>
  <c r="K65" i="16"/>
  <c r="K65" i="33"/>
  <c r="D56" i="22" l="1"/>
  <c r="L42" i="22" l="1"/>
  <c r="K42" i="22"/>
  <c r="J42" i="22"/>
  <c r="L41" i="22"/>
  <c r="K41" i="22"/>
  <c r="J41" i="22"/>
  <c r="L40" i="22"/>
  <c r="K40" i="22"/>
  <c r="J40" i="22"/>
  <c r="L39" i="22"/>
  <c r="K39" i="22"/>
  <c r="J39" i="22"/>
  <c r="L38" i="22"/>
  <c r="K38" i="22"/>
  <c r="J38" i="22"/>
  <c r="L37" i="22"/>
  <c r="K37" i="22"/>
  <c r="J37" i="22"/>
  <c r="L36" i="22"/>
  <c r="K36" i="22"/>
  <c r="J36" i="22"/>
  <c r="L35" i="22"/>
  <c r="K35" i="22"/>
  <c r="J35" i="22"/>
  <c r="L34" i="22"/>
  <c r="K34" i="22"/>
  <c r="J34" i="22"/>
  <c r="L33" i="22"/>
  <c r="K33" i="22"/>
  <c r="J33" i="22"/>
  <c r="L32" i="22"/>
  <c r="K32" i="22"/>
  <c r="J32" i="22"/>
  <c r="L31" i="22"/>
  <c r="K31" i="22"/>
  <c r="J31" i="22"/>
  <c r="L30" i="22"/>
  <c r="K30" i="22"/>
  <c r="J30" i="22"/>
  <c r="L29" i="22"/>
  <c r="K29" i="22"/>
  <c r="J29" i="22"/>
  <c r="L28" i="22"/>
  <c r="K28" i="22"/>
  <c r="J28" i="22"/>
  <c r="D168" i="22"/>
  <c r="D167" i="22"/>
  <c r="D166" i="22"/>
  <c r="D165" i="22"/>
  <c r="D164" i="22"/>
  <c r="D162" i="22"/>
  <c r="D161" i="22"/>
  <c r="D160" i="22"/>
  <c r="D159" i="22"/>
  <c r="D158" i="22"/>
  <c r="D157" i="22"/>
  <c r="D163" i="22"/>
  <c r="D156" i="22"/>
  <c r="D78" i="22"/>
  <c r="D51" i="22"/>
  <c r="I22" i="22"/>
  <c r="D51" i="3"/>
  <c r="D90" i="22" l="1"/>
  <c r="D145" i="22" l="1"/>
  <c r="D142" i="22"/>
  <c r="D139" i="22"/>
  <c r="D136" i="22"/>
  <c r="D133" i="22"/>
  <c r="D130" i="22"/>
  <c r="D127" i="22"/>
  <c r="D124" i="22"/>
  <c r="D121" i="22"/>
  <c r="D118" i="22"/>
  <c r="D115" i="22"/>
  <c r="D109" i="22"/>
  <c r="D106" i="22"/>
  <c r="D103" i="22"/>
  <c r="D112" i="22"/>
  <c r="D111" i="22"/>
  <c r="D147" i="22"/>
  <c r="D146" i="22" l="1"/>
  <c r="D148" i="22" s="1"/>
  <c r="D58" i="22"/>
  <c r="D60" i="22" l="1"/>
  <c r="I24" i="22" s="1"/>
  <c r="I21" i="44"/>
  <c r="I22" i="44" s="1"/>
  <c r="I19" i="44"/>
  <c r="I20" i="44" s="1"/>
  <c r="I16" i="44"/>
  <c r="I17" i="44"/>
  <c r="I18" i="44" s="1"/>
  <c r="I16" i="11"/>
  <c r="CC70" i="41"/>
  <c r="CC69" i="41"/>
  <c r="CC68" i="41"/>
  <c r="CC67" i="41"/>
  <c r="CC66" i="41"/>
  <c r="CC64" i="41"/>
  <c r="CC63" i="41"/>
  <c r="CC62" i="41"/>
  <c r="CC61" i="41"/>
  <c r="CC60" i="41"/>
  <c r="CC59" i="41"/>
  <c r="CC57" i="41"/>
  <c r="CC56" i="41"/>
  <c r="CC54" i="41"/>
  <c r="CC52" i="41"/>
  <c r="CC51" i="41"/>
  <c r="CC50" i="41"/>
  <c r="CC48" i="41"/>
  <c r="CC47" i="41"/>
  <c r="CC45" i="41"/>
  <c r="CC44" i="41"/>
  <c r="CC43" i="41"/>
  <c r="CC41" i="41"/>
  <c r="CC40" i="41"/>
  <c r="CC39" i="41"/>
  <c r="CC38" i="41"/>
  <c r="CC37" i="41"/>
  <c r="CC36" i="41"/>
  <c r="CC35" i="41"/>
  <c r="CC34" i="41"/>
  <c r="CC33" i="41"/>
  <c r="CC31" i="41"/>
  <c r="CC27" i="41"/>
  <c r="CC26" i="41"/>
  <c r="CC25" i="41"/>
  <c r="CC24" i="41"/>
  <c r="CC22" i="41"/>
  <c r="CC21" i="41"/>
  <c r="CC20" i="41"/>
  <c r="CC18" i="41"/>
  <c r="CC17" i="41"/>
  <c r="CC16" i="41"/>
  <c r="CC15" i="41"/>
  <c r="CA70" i="41"/>
  <c r="CA69" i="41"/>
  <c r="CA68" i="41"/>
  <c r="CA67" i="41"/>
  <c r="CA66" i="41"/>
  <c r="CA64" i="41"/>
  <c r="CA63" i="41"/>
  <c r="CA62" i="41"/>
  <c r="CA61" i="41"/>
  <c r="CA60" i="41"/>
  <c r="CA59" i="41"/>
  <c r="CA57" i="41"/>
  <c r="CA56" i="41"/>
  <c r="CA54" i="41"/>
  <c r="CA52" i="41"/>
  <c r="CA51" i="41"/>
  <c r="CA50" i="41"/>
  <c r="CA48" i="41"/>
  <c r="CA47" i="41"/>
  <c r="CA45" i="41"/>
  <c r="CA44" i="41"/>
  <c r="CA43" i="41"/>
  <c r="CA41" i="41"/>
  <c r="CA40" i="41"/>
  <c r="CA39" i="41"/>
  <c r="CA38" i="41"/>
  <c r="CA37" i="41"/>
  <c r="CA36" i="41"/>
  <c r="CA35" i="41"/>
  <c r="CA34" i="41"/>
  <c r="CA33" i="41"/>
  <c r="CA31" i="41"/>
  <c r="CA27" i="41"/>
  <c r="CA26" i="41"/>
  <c r="CA25" i="41"/>
  <c r="CA24" i="41"/>
  <c r="CA22" i="41"/>
  <c r="CA21" i="41"/>
  <c r="CA20" i="41"/>
  <c r="CA18" i="41"/>
  <c r="CA17" i="41"/>
  <c r="CA16" i="41"/>
  <c r="CA15" i="41"/>
  <c r="BW70" i="41"/>
  <c r="BW69" i="41"/>
  <c r="BW68" i="41"/>
  <c r="BW67" i="41"/>
  <c r="BW66" i="41"/>
  <c r="BW64" i="41"/>
  <c r="BW63" i="41"/>
  <c r="BW62" i="41"/>
  <c r="BW61" i="41"/>
  <c r="BW60" i="41"/>
  <c r="BW59" i="41"/>
  <c r="BW57" i="41"/>
  <c r="BW56" i="41"/>
  <c r="BW54" i="41"/>
  <c r="BW52" i="41"/>
  <c r="BW51" i="41"/>
  <c r="BW50" i="41"/>
  <c r="BW48" i="41"/>
  <c r="BW47" i="41"/>
  <c r="BW45" i="41"/>
  <c r="BW44" i="41"/>
  <c r="BW43" i="41"/>
  <c r="BW41" i="41"/>
  <c r="BW40" i="41"/>
  <c r="BW39" i="41"/>
  <c r="BW38" i="41"/>
  <c r="BW37" i="41"/>
  <c r="BW36" i="41"/>
  <c r="BW35" i="41"/>
  <c r="BW34" i="41"/>
  <c r="BW33" i="41"/>
  <c r="BW31" i="41"/>
  <c r="BW27" i="41"/>
  <c r="BW26" i="41"/>
  <c r="BW25" i="41"/>
  <c r="BW24" i="41"/>
  <c r="BW22" i="41"/>
  <c r="BW21" i="41"/>
  <c r="BW20" i="41"/>
  <c r="BW18" i="41"/>
  <c r="BW17" i="41"/>
  <c r="BW16" i="41"/>
  <c r="BW15" i="41"/>
  <c r="BY70" i="41"/>
  <c r="BY69" i="41"/>
  <c r="BY67" i="41"/>
  <c r="BY66" i="41"/>
  <c r="BY62" i="41"/>
  <c r="BY61" i="41"/>
  <c r="BY60" i="41"/>
  <c r="BY59" i="41"/>
  <c r="BY57" i="41"/>
  <c r="BY56" i="41"/>
  <c r="BY54" i="41"/>
  <c r="BY52" i="41"/>
  <c r="BY51" i="41"/>
  <c r="BY50" i="41"/>
  <c r="BY48" i="41"/>
  <c r="BY47" i="41"/>
  <c r="BY44" i="41"/>
  <c r="BY43" i="41"/>
  <c r="BY41" i="41"/>
  <c r="BY40" i="41"/>
  <c r="BY37" i="41"/>
  <c r="BY35" i="41"/>
  <c r="BY33" i="41"/>
  <c r="BY27" i="41"/>
  <c r="BY26" i="41"/>
  <c r="BY25" i="41"/>
  <c r="BY17" i="41"/>
  <c r="BY16" i="41"/>
  <c r="BY22" i="41"/>
  <c r="BY21" i="41"/>
  <c r="BY20" i="41"/>
  <c r="BY18" i="41"/>
  <c r="BY15" i="41"/>
  <c r="BY68" i="41"/>
  <c r="BY64" i="41"/>
  <c r="BY63" i="41"/>
  <c r="BY45" i="41"/>
  <c r="BY39" i="41"/>
  <c r="BY38" i="41"/>
  <c r="BY36" i="41"/>
  <c r="BY34" i="41"/>
  <c r="BY31" i="41"/>
  <c r="BY24" i="41"/>
  <c r="BP24" i="41"/>
  <c r="BP31" i="41"/>
  <c r="BP70" i="41"/>
  <c r="BP69" i="41"/>
  <c r="BP68" i="41"/>
  <c r="BP67" i="41"/>
  <c r="BP66" i="41"/>
  <c r="BP64" i="41"/>
  <c r="BP63" i="41"/>
  <c r="BP62" i="41"/>
  <c r="BP61" i="41"/>
  <c r="BP60" i="41"/>
  <c r="BP59" i="41"/>
  <c r="BP57" i="41"/>
  <c r="BP56" i="41"/>
  <c r="BP54" i="41"/>
  <c r="BP52" i="41"/>
  <c r="BP51" i="41"/>
  <c r="BP50" i="41"/>
  <c r="BP48" i="41"/>
  <c r="BP47" i="41"/>
  <c r="BP45" i="41"/>
  <c r="BP44" i="41"/>
  <c r="BP43" i="41"/>
  <c r="BP41" i="41"/>
  <c r="BP40" i="41"/>
  <c r="BP39" i="41"/>
  <c r="BP38" i="41"/>
  <c r="BP37" i="41"/>
  <c r="BP36" i="41"/>
  <c r="BP35" i="41"/>
  <c r="BP34" i="41"/>
  <c r="BP33" i="41"/>
  <c r="BP29" i="41"/>
  <c r="BP27" i="41"/>
  <c r="BP26" i="41"/>
  <c r="BP25" i="41"/>
  <c r="BP22" i="41"/>
  <c r="BP21" i="41"/>
  <c r="BP20" i="41"/>
  <c r="BP18" i="41"/>
  <c r="BP17" i="41"/>
  <c r="BP16" i="41"/>
  <c r="BP15" i="41"/>
  <c r="H24" i="22" l="1"/>
  <c r="A66" i="51"/>
  <c r="A65" i="51"/>
  <c r="A64" i="51"/>
  <c r="A63" i="51"/>
  <c r="A62" i="51"/>
  <c r="A61" i="51"/>
  <c r="A60" i="51"/>
  <c r="A59" i="51"/>
  <c r="A58" i="51"/>
  <c r="A57" i="51"/>
  <c r="A56" i="51"/>
  <c r="A55" i="51"/>
  <c r="A54" i="51"/>
  <c r="A53" i="51"/>
  <c r="A52" i="51"/>
  <c r="A51" i="51"/>
  <c r="A50" i="51"/>
  <c r="A49" i="51"/>
  <c r="A48" i="51"/>
  <c r="A47" i="51"/>
  <c r="A46" i="51"/>
  <c r="A45" i="51"/>
  <c r="A44" i="51"/>
  <c r="A43" i="51"/>
  <c r="A42" i="51"/>
  <c r="A41" i="51"/>
  <c r="A40" i="51"/>
  <c r="A39" i="51"/>
  <c r="A38" i="51"/>
  <c r="A37" i="51"/>
  <c r="A36" i="51"/>
  <c r="A35" i="51"/>
  <c r="A34" i="51"/>
  <c r="A33" i="51"/>
  <c r="A32" i="51"/>
  <c r="A31" i="51"/>
  <c r="A30" i="51"/>
  <c r="A29" i="51"/>
  <c r="A28" i="51"/>
  <c r="A27" i="51"/>
  <c r="A26" i="51"/>
  <c r="A25" i="51"/>
  <c r="A24" i="51"/>
  <c r="A23" i="51"/>
  <c r="A22" i="51"/>
  <c r="A21" i="51"/>
  <c r="A20" i="51"/>
  <c r="A19" i="51"/>
  <c r="A18" i="51"/>
  <c r="A17" i="51"/>
  <c r="A16" i="51"/>
  <c r="A15" i="51"/>
  <c r="A14" i="51"/>
  <c r="A13" i="51"/>
  <c r="A12" i="51"/>
  <c r="A11" i="51"/>
  <c r="A10" i="51"/>
  <c r="A66" i="50"/>
  <c r="A65" i="50"/>
  <c r="A64" i="50"/>
  <c r="A63" i="50"/>
  <c r="A62" i="50"/>
  <c r="A61" i="50"/>
  <c r="A60" i="50"/>
  <c r="A59" i="50"/>
  <c r="A58" i="50"/>
  <c r="A57" i="50"/>
  <c r="A56" i="50"/>
  <c r="A55" i="50"/>
  <c r="A54" i="50"/>
  <c r="A53" i="50"/>
  <c r="A52" i="50"/>
  <c r="A51" i="50"/>
  <c r="A50" i="50"/>
  <c r="A49" i="50"/>
  <c r="A48" i="50"/>
  <c r="A47" i="50"/>
  <c r="A46" i="50"/>
  <c r="A45" i="50"/>
  <c r="A44" i="50"/>
  <c r="A43" i="50"/>
  <c r="A42" i="50"/>
  <c r="A41" i="50"/>
  <c r="A40" i="50"/>
  <c r="A39" i="50"/>
  <c r="A38" i="50"/>
  <c r="A37" i="50"/>
  <c r="A36" i="50"/>
  <c r="A35" i="50"/>
  <c r="A34" i="50"/>
  <c r="A33" i="50"/>
  <c r="A32" i="50"/>
  <c r="A31" i="50"/>
  <c r="A30" i="50"/>
  <c r="A29" i="50"/>
  <c r="A28" i="50"/>
  <c r="A27" i="50"/>
  <c r="A26" i="50"/>
  <c r="A25" i="50"/>
  <c r="A24" i="50"/>
  <c r="A23" i="50"/>
  <c r="A22" i="50"/>
  <c r="A21" i="50"/>
  <c r="A20" i="50"/>
  <c r="A19" i="50"/>
  <c r="A18" i="50"/>
  <c r="A17" i="50"/>
  <c r="A16" i="50"/>
  <c r="A15" i="50"/>
  <c r="A14" i="50"/>
  <c r="A13" i="50"/>
  <c r="A12" i="50"/>
  <c r="A11" i="50"/>
  <c r="A10" i="50"/>
  <c r="A66" i="49"/>
  <c r="A65" i="49"/>
  <c r="A64" i="49"/>
  <c r="A63" i="49"/>
  <c r="A62" i="49"/>
  <c r="A61" i="49"/>
  <c r="A60" i="49"/>
  <c r="A59" i="49"/>
  <c r="A58" i="49"/>
  <c r="A57" i="49"/>
  <c r="A56" i="49"/>
  <c r="A55" i="49"/>
  <c r="A54" i="49"/>
  <c r="A53" i="49"/>
  <c r="A52" i="49"/>
  <c r="A51" i="49"/>
  <c r="A50" i="49"/>
  <c r="A49" i="49"/>
  <c r="A48" i="49"/>
  <c r="A47" i="49"/>
  <c r="A46" i="49"/>
  <c r="A45" i="49"/>
  <c r="A44" i="49"/>
  <c r="A43" i="49"/>
  <c r="A42" i="49"/>
  <c r="A41" i="49"/>
  <c r="A40" i="49"/>
  <c r="A39" i="49"/>
  <c r="A38" i="49"/>
  <c r="A37" i="49"/>
  <c r="A36" i="49"/>
  <c r="A35" i="49"/>
  <c r="A34" i="49"/>
  <c r="A33" i="49"/>
  <c r="A32" i="49"/>
  <c r="A31" i="49"/>
  <c r="A30" i="49"/>
  <c r="A29" i="49"/>
  <c r="A28" i="49"/>
  <c r="A27" i="49"/>
  <c r="A26" i="49"/>
  <c r="A25" i="49"/>
  <c r="A24" i="49"/>
  <c r="A23" i="49"/>
  <c r="A22" i="49"/>
  <c r="A21" i="49"/>
  <c r="A20" i="49"/>
  <c r="A19" i="49"/>
  <c r="A18" i="49"/>
  <c r="A17" i="49"/>
  <c r="A16" i="49"/>
  <c r="A15" i="49"/>
  <c r="A14" i="49"/>
  <c r="A13" i="49"/>
  <c r="A12" i="49"/>
  <c r="A11" i="49"/>
  <c r="A10" i="49"/>
  <c r="U41" i="3" l="1"/>
  <c r="R41" i="3"/>
  <c r="O41" i="3" l="1"/>
  <c r="O36" i="3" l="1"/>
  <c r="O35" i="3" l="1"/>
  <c r="L29" i="3" l="1"/>
  <c r="K29" i="3"/>
  <c r="J29" i="3"/>
  <c r="L32" i="3"/>
  <c r="K32" i="3"/>
  <c r="J32" i="3"/>
  <c r="I42" i="31"/>
  <c r="H42" i="31"/>
  <c r="G42" i="31"/>
  <c r="I41" i="31"/>
  <c r="H41" i="31"/>
  <c r="G41" i="31"/>
  <c r="I40" i="31"/>
  <c r="H40" i="31"/>
  <c r="G40" i="31"/>
  <c r="I38" i="31"/>
  <c r="H38" i="31"/>
  <c r="G38" i="31"/>
  <c r="I37" i="31"/>
  <c r="H37" i="31"/>
  <c r="G37" i="31"/>
  <c r="I29" i="31"/>
  <c r="H29" i="31"/>
  <c r="G29" i="31"/>
  <c r="I24" i="31"/>
  <c r="H24" i="31"/>
  <c r="G24" i="31"/>
  <c r="I23" i="31"/>
  <c r="H23" i="31"/>
  <c r="G23" i="31"/>
  <c r="I22" i="31"/>
  <c r="H22" i="31"/>
  <c r="G22" i="31"/>
  <c r="I21" i="31"/>
  <c r="H21" i="31"/>
  <c r="G21" i="31"/>
  <c r="I20" i="31"/>
  <c r="H20" i="31"/>
  <c r="G20" i="31"/>
  <c r="I10" i="31"/>
  <c r="H10" i="31"/>
  <c r="G10" i="31"/>
  <c r="I9" i="31"/>
  <c r="H9" i="31"/>
  <c r="G9" i="31"/>
  <c r="F42" i="31" l="1"/>
  <c r="E42" i="31"/>
  <c r="D42" i="31"/>
  <c r="E41" i="31"/>
  <c r="D41" i="31"/>
  <c r="F40" i="31"/>
  <c r="E40" i="31"/>
  <c r="D40" i="31"/>
  <c r="F38" i="31"/>
  <c r="E38" i="31"/>
  <c r="D38" i="31"/>
  <c r="F37" i="31"/>
  <c r="E37" i="31"/>
  <c r="D37" i="31"/>
  <c r="F29" i="31"/>
  <c r="E29" i="31"/>
  <c r="D29" i="31"/>
  <c r="F24" i="31"/>
  <c r="E24" i="31"/>
  <c r="D24" i="31"/>
  <c r="F23" i="31"/>
  <c r="E23" i="31"/>
  <c r="D23" i="31"/>
  <c r="F22" i="31"/>
  <c r="E22" i="31"/>
  <c r="D22" i="31"/>
  <c r="F21" i="31"/>
  <c r="E21" i="31"/>
  <c r="D21" i="31"/>
  <c r="F20" i="31"/>
  <c r="E20" i="31"/>
  <c r="D20" i="31"/>
  <c r="F10" i="31"/>
  <c r="E10" i="31"/>
  <c r="D10" i="31"/>
  <c r="F9" i="31"/>
  <c r="E9" i="31"/>
  <c r="D9" i="31"/>
  <c r="H61" i="17" l="1"/>
  <c r="H60" i="17"/>
  <c r="H59" i="17"/>
  <c r="H58" i="17"/>
  <c r="H57" i="17"/>
  <c r="H62" i="17" s="1"/>
  <c r="H55" i="17"/>
  <c r="H54" i="17"/>
  <c r="H53" i="17"/>
  <c r="H52" i="17"/>
  <c r="H51" i="17"/>
  <c r="H50" i="17"/>
  <c r="H56" i="17" s="1"/>
  <c r="H48" i="17"/>
  <c r="H47" i="17"/>
  <c r="H49" i="17" s="1"/>
  <c r="H45" i="17"/>
  <c r="H46" i="17" s="1"/>
  <c r="H43" i="17"/>
  <c r="H42" i="17"/>
  <c r="H41" i="17"/>
  <c r="H44" i="17" s="1"/>
  <c r="H39" i="17"/>
  <c r="H38" i="17"/>
  <c r="H40" i="17" s="1"/>
  <c r="H36" i="17"/>
  <c r="H35" i="17"/>
  <c r="H34" i="17"/>
  <c r="H37" i="17" s="1"/>
  <c r="H32" i="17"/>
  <c r="H31" i="17"/>
  <c r="H30" i="17"/>
  <c r="H29" i="17"/>
  <c r="H28" i="17"/>
  <c r="H27" i="17"/>
  <c r="H26" i="17"/>
  <c r="H25" i="17"/>
  <c r="H24" i="17"/>
  <c r="H33" i="17" s="1"/>
  <c r="H22" i="17"/>
  <c r="H23" i="17" s="1"/>
  <c r="H20" i="17"/>
  <c r="H21" i="17" s="1"/>
  <c r="H18" i="17"/>
  <c r="H17" i="17"/>
  <c r="H16" i="17"/>
  <c r="H15" i="17"/>
  <c r="H19" i="17" s="1"/>
  <c r="H13" i="17"/>
  <c r="H12" i="17"/>
  <c r="H11" i="17"/>
  <c r="H14" i="17" s="1"/>
  <c r="H9" i="17"/>
  <c r="H8" i="17"/>
  <c r="H7" i="17"/>
  <c r="H6" i="17"/>
  <c r="H10" i="17" s="1"/>
  <c r="BN20" i="2"/>
  <c r="BN19" i="2"/>
  <c r="BN18" i="2"/>
  <c r="BN17" i="2"/>
  <c r="BN16" i="2"/>
  <c r="BN15" i="2"/>
  <c r="BN22" i="2"/>
  <c r="BN23" i="2"/>
  <c r="BN24" i="2"/>
  <c r="BN25" i="2"/>
  <c r="BN26" i="2"/>
  <c r="BN27" i="2"/>
  <c r="BN28" i="2"/>
  <c r="BN29" i="2"/>
  <c r="BN30" i="2"/>
  <c r="BN31" i="2"/>
  <c r="BN32" i="2"/>
  <c r="BN33" i="2"/>
  <c r="BN34" i="2"/>
  <c r="BN35" i="2"/>
  <c r="BN36" i="2"/>
  <c r="BN37" i="2"/>
  <c r="BN38" i="2"/>
  <c r="BN39" i="2"/>
  <c r="BN40" i="2"/>
  <c r="BN41" i="2"/>
  <c r="BN42" i="2"/>
  <c r="BN43" i="2"/>
  <c r="BN44" i="2"/>
  <c r="BN45" i="2"/>
  <c r="BN46" i="2"/>
  <c r="BN47" i="2"/>
  <c r="BN48" i="2"/>
  <c r="BN49" i="2"/>
  <c r="BN50" i="2"/>
  <c r="BN51" i="2"/>
  <c r="BN52" i="2"/>
  <c r="BN53" i="2"/>
  <c r="BN54" i="2"/>
  <c r="BN55" i="2"/>
  <c r="BN56" i="2"/>
  <c r="BN57" i="2"/>
  <c r="BN58" i="2"/>
  <c r="BN59" i="2"/>
  <c r="BN60" i="2"/>
  <c r="BN61" i="2"/>
  <c r="BN62" i="2"/>
  <c r="BN63" i="2"/>
  <c r="BN64" i="2"/>
  <c r="BN65" i="2"/>
  <c r="BN66" i="2"/>
  <c r="BN67" i="2"/>
  <c r="BN68" i="2"/>
  <c r="BN69" i="2"/>
  <c r="BN70" i="2"/>
  <c r="BN71" i="2"/>
  <c r="BN21" i="2"/>
  <c r="BK19" i="2"/>
  <c r="BK23" i="2"/>
  <c r="BK28" i="2"/>
  <c r="BK31" i="2"/>
  <c r="BK33" i="2"/>
  <c r="BK43" i="2"/>
  <c r="BK47" i="2"/>
  <c r="BK50" i="2"/>
  <c r="BK54" i="2"/>
  <c r="BK56" i="2"/>
  <c r="BK59" i="2"/>
  <c r="BK66" i="2"/>
  <c r="BK69" i="2"/>
  <c r="AZ16" i="2"/>
  <c r="BH16" i="2" s="1"/>
  <c r="BB16" i="2"/>
  <c r="AZ17" i="2"/>
  <c r="BH17" i="2" s="1"/>
  <c r="BB17" i="2"/>
  <c r="AZ18" i="2"/>
  <c r="BH18" i="2" s="1"/>
  <c r="BB18" i="2"/>
  <c r="AZ20" i="2"/>
  <c r="BH20" i="2" s="1"/>
  <c r="BB20" i="2"/>
  <c r="AZ21" i="2"/>
  <c r="BH21" i="2" s="1"/>
  <c r="BB21" i="2"/>
  <c r="AZ22" i="2"/>
  <c r="BH22" i="2" s="1"/>
  <c r="BB22" i="2"/>
  <c r="AZ24" i="2"/>
  <c r="BH24" i="2" s="1"/>
  <c r="BB24" i="2"/>
  <c r="AZ25" i="2"/>
  <c r="BH25" i="2" s="1"/>
  <c r="BB25" i="2"/>
  <c r="AZ26" i="2"/>
  <c r="BH26" i="2" s="1"/>
  <c r="BB26" i="2"/>
  <c r="AZ27" i="2"/>
  <c r="BH27" i="2" s="1"/>
  <c r="BB27" i="2"/>
  <c r="AZ29" i="2"/>
  <c r="BH29" i="2" s="1"/>
  <c r="BB29" i="2"/>
  <c r="AZ31" i="2"/>
  <c r="BH31" i="2" s="1"/>
  <c r="BB31" i="2"/>
  <c r="AZ32" i="2"/>
  <c r="BH32" i="2" s="1"/>
  <c r="BB32" i="2"/>
  <c r="AZ33" i="2"/>
  <c r="BH33" i="2" s="1"/>
  <c r="BB33" i="2"/>
  <c r="AZ34" i="2"/>
  <c r="BH34" i="2" s="1"/>
  <c r="BB34" i="2"/>
  <c r="AZ35" i="2"/>
  <c r="BH35" i="2" s="1"/>
  <c r="BB35" i="2"/>
  <c r="AZ36" i="2"/>
  <c r="BH36" i="2" s="1"/>
  <c r="BB36" i="2"/>
  <c r="AZ37" i="2"/>
  <c r="BH37" i="2" s="1"/>
  <c r="BB37" i="2"/>
  <c r="AZ38" i="2"/>
  <c r="BH38" i="2" s="1"/>
  <c r="BB38" i="2"/>
  <c r="AZ39" i="2"/>
  <c r="BH39" i="2" s="1"/>
  <c r="BB39" i="2"/>
  <c r="AZ40" i="2"/>
  <c r="BH40" i="2" s="1"/>
  <c r="BB40" i="2"/>
  <c r="AZ41" i="2"/>
  <c r="BH41" i="2" s="1"/>
  <c r="BB41" i="2"/>
  <c r="AZ43" i="2"/>
  <c r="BH43" i="2" s="1"/>
  <c r="BB43" i="2"/>
  <c r="AZ44" i="2"/>
  <c r="BH44" i="2" s="1"/>
  <c r="BB44" i="2"/>
  <c r="AZ45" i="2"/>
  <c r="BH45" i="2" s="1"/>
  <c r="BB45" i="2"/>
  <c r="AZ47" i="2"/>
  <c r="BH47" i="2" s="1"/>
  <c r="BB47" i="2"/>
  <c r="AZ48" i="2"/>
  <c r="BH48" i="2" s="1"/>
  <c r="BB48" i="2"/>
  <c r="AZ50" i="2"/>
  <c r="BH50" i="2" s="1"/>
  <c r="BB50" i="2"/>
  <c r="AZ51" i="2"/>
  <c r="BH51" i="2" s="1"/>
  <c r="BB51" i="2"/>
  <c r="AZ52" i="2"/>
  <c r="BH52" i="2" s="1"/>
  <c r="BB52" i="2"/>
  <c r="AZ54" i="2"/>
  <c r="BH54" i="2" s="1"/>
  <c r="BB54" i="2"/>
  <c r="AZ56" i="2"/>
  <c r="BH56" i="2" s="1"/>
  <c r="BB56" i="2"/>
  <c r="AZ57" i="2"/>
  <c r="BH57" i="2" s="1"/>
  <c r="BB57" i="2"/>
  <c r="AZ59" i="2"/>
  <c r="BH59" i="2" s="1"/>
  <c r="BB59" i="2"/>
  <c r="AZ60" i="2"/>
  <c r="BH60" i="2" s="1"/>
  <c r="BB60" i="2"/>
  <c r="AZ61" i="2"/>
  <c r="BH61" i="2" s="1"/>
  <c r="BB61" i="2"/>
  <c r="AZ62" i="2"/>
  <c r="BH62" i="2" s="1"/>
  <c r="BB62" i="2"/>
  <c r="AZ63" i="2"/>
  <c r="BH63" i="2" s="1"/>
  <c r="BB63" i="2"/>
  <c r="AZ64" i="2"/>
  <c r="BH64" i="2" s="1"/>
  <c r="BB64" i="2"/>
  <c r="AZ66" i="2"/>
  <c r="BH66" i="2" s="1"/>
  <c r="BB66" i="2"/>
  <c r="AZ67" i="2"/>
  <c r="BH67" i="2" s="1"/>
  <c r="BB67" i="2"/>
  <c r="AZ68" i="2"/>
  <c r="BH68" i="2" s="1"/>
  <c r="BB68" i="2"/>
  <c r="AZ69" i="2"/>
  <c r="BH69" i="2" s="1"/>
  <c r="BB69" i="2"/>
  <c r="AZ70" i="2"/>
  <c r="BH70" i="2" s="1"/>
  <c r="BB70" i="2"/>
  <c r="AI67" i="27"/>
  <c r="AH67" i="27"/>
  <c r="X67" i="27"/>
  <c r="W67" i="27"/>
  <c r="O67" i="27"/>
  <c r="M67" i="27"/>
  <c r="AV65" i="27"/>
  <c r="BK71" i="2" s="1"/>
  <c r="AG65" i="27"/>
  <c r="AK65" i="27" s="1"/>
  <c r="AF65" i="27"/>
  <c r="AJ65" i="27" s="1"/>
  <c r="AB65" i="27"/>
  <c r="AA65" i="27"/>
  <c r="S65" i="27"/>
  <c r="T65" i="27" s="1"/>
  <c r="R65" i="27"/>
  <c r="P65" i="27"/>
  <c r="N65" i="27"/>
  <c r="AV64" i="27"/>
  <c r="BK70" i="2" s="1"/>
  <c r="AG64" i="27"/>
  <c r="AK64" i="27" s="1"/>
  <c r="AF64" i="27"/>
  <c r="AJ64" i="27" s="1"/>
  <c r="AB64" i="27"/>
  <c r="AA64" i="27"/>
  <c r="S64" i="27"/>
  <c r="T64" i="27" s="1"/>
  <c r="R64" i="27"/>
  <c r="P64" i="27"/>
  <c r="N64" i="27"/>
  <c r="BJ63" i="27"/>
  <c r="AV62" i="27"/>
  <c r="BK68" i="2" s="1"/>
  <c r="AG62" i="27"/>
  <c r="AF62" i="27"/>
  <c r="AE62" i="27"/>
  <c r="AD62" i="27"/>
  <c r="AB62" i="27"/>
  <c r="AA62" i="27"/>
  <c r="S62" i="27"/>
  <c r="T62" i="27" s="1"/>
  <c r="R62" i="27"/>
  <c r="P62" i="27"/>
  <c r="N62" i="27"/>
  <c r="AV61" i="27"/>
  <c r="BK67" i="2" s="1"/>
  <c r="AG61" i="27"/>
  <c r="AK61" i="27" s="1"/>
  <c r="AF61" i="27"/>
  <c r="AJ61" i="27" s="1"/>
  <c r="AB61" i="27"/>
  <c r="AA61" i="27"/>
  <c r="S61" i="27"/>
  <c r="T61" i="27" s="1"/>
  <c r="R61" i="27"/>
  <c r="P61" i="27"/>
  <c r="N61" i="27"/>
  <c r="AV59" i="27"/>
  <c r="BK65" i="2" s="1"/>
  <c r="AG59" i="27"/>
  <c r="AF59" i="27"/>
  <c r="AE59" i="27"/>
  <c r="AD59" i="27"/>
  <c r="AB59" i="27"/>
  <c r="AA59" i="27"/>
  <c r="S59" i="27"/>
  <c r="T59" i="27" s="1"/>
  <c r="R59" i="27"/>
  <c r="P59" i="27"/>
  <c r="N59" i="27"/>
  <c r="AV58" i="27"/>
  <c r="BK64" i="2" s="1"/>
  <c r="AG58" i="27"/>
  <c r="AF58" i="27"/>
  <c r="AE58" i="27"/>
  <c r="AD58" i="27"/>
  <c r="AB58" i="27"/>
  <c r="AA58" i="27"/>
  <c r="S58" i="27"/>
  <c r="T58" i="27" s="1"/>
  <c r="R58" i="27"/>
  <c r="P58" i="27"/>
  <c r="N58" i="27"/>
  <c r="AV57" i="27"/>
  <c r="BK63" i="2" s="1"/>
  <c r="AK57" i="27"/>
  <c r="AJ57" i="27"/>
  <c r="AB57" i="27"/>
  <c r="AA57" i="27"/>
  <c r="S57" i="27"/>
  <c r="T57" i="27" s="1"/>
  <c r="R57" i="27"/>
  <c r="P57" i="27"/>
  <c r="N57" i="27"/>
  <c r="AV56" i="27"/>
  <c r="BK62" i="2" s="1"/>
  <c r="AK56" i="27"/>
  <c r="AJ56" i="27"/>
  <c r="AB56" i="27"/>
  <c r="AA56" i="27"/>
  <c r="S56" i="27"/>
  <c r="T56" i="27" s="1"/>
  <c r="R56" i="27"/>
  <c r="P56" i="27"/>
  <c r="N56" i="27"/>
  <c r="AV55" i="27"/>
  <c r="BK61" i="2" s="1"/>
  <c r="AK55" i="27"/>
  <c r="AJ55" i="27"/>
  <c r="AB55" i="27"/>
  <c r="AA55" i="27"/>
  <c r="S55" i="27"/>
  <c r="T55" i="27" s="1"/>
  <c r="R55" i="27"/>
  <c r="P55" i="27"/>
  <c r="N55" i="27"/>
  <c r="AV54" i="27"/>
  <c r="BK60" i="2" s="1"/>
  <c r="AK54" i="27"/>
  <c r="AJ54" i="27"/>
  <c r="AB54" i="27"/>
  <c r="AA54" i="27"/>
  <c r="S54" i="27"/>
  <c r="T54" i="27" s="1"/>
  <c r="R54" i="27"/>
  <c r="P54" i="27"/>
  <c r="N54" i="27"/>
  <c r="AV52" i="27"/>
  <c r="BK58" i="2" s="1"/>
  <c r="AG52" i="27"/>
  <c r="AK52" i="27" s="1"/>
  <c r="AF52" i="27"/>
  <c r="AJ52" i="27" s="1"/>
  <c r="AB52" i="27"/>
  <c r="AA52" i="27"/>
  <c r="S52" i="27"/>
  <c r="T52" i="27" s="1"/>
  <c r="R52" i="27"/>
  <c r="P52" i="27"/>
  <c r="N52" i="27"/>
  <c r="AV51" i="27"/>
  <c r="BK57" i="2" s="1"/>
  <c r="AG51" i="27"/>
  <c r="AK51" i="27" s="1"/>
  <c r="AF51" i="27"/>
  <c r="AJ51" i="27" s="1"/>
  <c r="AB51" i="27"/>
  <c r="AA51" i="27"/>
  <c r="S51" i="27"/>
  <c r="T51" i="27" s="1"/>
  <c r="R51" i="27"/>
  <c r="P51" i="27"/>
  <c r="N51" i="27"/>
  <c r="AV49" i="27"/>
  <c r="BK55" i="2" s="1"/>
  <c r="AG49" i="27"/>
  <c r="AK49" i="27" s="1"/>
  <c r="AF49" i="27"/>
  <c r="AJ49" i="27" s="1"/>
  <c r="AB49" i="27"/>
  <c r="AA49" i="27"/>
  <c r="S49" i="27"/>
  <c r="T49" i="27" s="1"/>
  <c r="R49" i="27"/>
  <c r="P49" i="27"/>
  <c r="N49" i="27"/>
  <c r="AV47" i="27"/>
  <c r="BK53" i="2" s="1"/>
  <c r="AG47" i="27"/>
  <c r="AK47" i="27" s="1"/>
  <c r="AF47" i="27"/>
  <c r="AJ47" i="27" s="1"/>
  <c r="AB47" i="27"/>
  <c r="AA47" i="27"/>
  <c r="S47" i="27"/>
  <c r="T47" i="27" s="1"/>
  <c r="R47" i="27"/>
  <c r="P47" i="27"/>
  <c r="N47" i="27"/>
  <c r="AV46" i="27"/>
  <c r="BK52" i="2" s="1"/>
  <c r="AG46" i="27"/>
  <c r="AK46" i="27" s="1"/>
  <c r="AF46" i="27"/>
  <c r="AJ46" i="27" s="1"/>
  <c r="AB46" i="27"/>
  <c r="AA46" i="27"/>
  <c r="S46" i="27"/>
  <c r="T46" i="27" s="1"/>
  <c r="R46" i="27"/>
  <c r="P46" i="27"/>
  <c r="N46" i="27"/>
  <c r="AV45" i="27"/>
  <c r="BK51" i="2" s="1"/>
  <c r="AG45" i="27"/>
  <c r="AK45" i="27" s="1"/>
  <c r="AF45" i="27"/>
  <c r="AJ45" i="27" s="1"/>
  <c r="AB45" i="27"/>
  <c r="AA45" i="27"/>
  <c r="S45" i="27"/>
  <c r="T45" i="27" s="1"/>
  <c r="R45" i="27"/>
  <c r="P45" i="27"/>
  <c r="N45" i="27"/>
  <c r="AV43" i="27"/>
  <c r="BK49" i="2" s="1"/>
  <c r="AK43" i="27"/>
  <c r="AJ43" i="27"/>
  <c r="AB43" i="27"/>
  <c r="AA43" i="27"/>
  <c r="S43" i="27"/>
  <c r="T43" i="27" s="1"/>
  <c r="R43" i="27"/>
  <c r="P43" i="27"/>
  <c r="N43" i="27"/>
  <c r="AV42" i="27"/>
  <c r="BK48" i="2" s="1"/>
  <c r="AG42" i="27"/>
  <c r="AK42" i="27" s="1"/>
  <c r="AF42" i="27"/>
  <c r="AJ42" i="27" s="1"/>
  <c r="AB42" i="27"/>
  <c r="AA42" i="27"/>
  <c r="S42" i="27"/>
  <c r="T42" i="27" s="1"/>
  <c r="R42" i="27"/>
  <c r="P42" i="27"/>
  <c r="N42" i="27"/>
  <c r="AV40" i="27"/>
  <c r="BK46" i="2" s="1"/>
  <c r="AG40" i="27"/>
  <c r="AF40" i="27"/>
  <c r="S40" i="27"/>
  <c r="U40" i="27" s="1"/>
  <c r="R40" i="27"/>
  <c r="P40" i="27"/>
  <c r="N40" i="27"/>
  <c r="AV39" i="27"/>
  <c r="BK45" i="2" s="1"/>
  <c r="AG39" i="27"/>
  <c r="AK39" i="27" s="1"/>
  <c r="AF39" i="27"/>
  <c r="AJ39" i="27" s="1"/>
  <c r="AB39" i="27"/>
  <c r="AA39" i="27"/>
  <c r="S39" i="27"/>
  <c r="T39" i="27" s="1"/>
  <c r="R39" i="27"/>
  <c r="P39" i="27"/>
  <c r="N39" i="27"/>
  <c r="AV38" i="27"/>
  <c r="BK44" i="2" s="1"/>
  <c r="AG38" i="27"/>
  <c r="AK38" i="27" s="1"/>
  <c r="AF38" i="27"/>
  <c r="AJ38" i="27" s="1"/>
  <c r="AB38" i="27"/>
  <c r="AA38" i="27"/>
  <c r="S38" i="27"/>
  <c r="T38" i="27" s="1"/>
  <c r="R38" i="27"/>
  <c r="P38" i="27"/>
  <c r="N38" i="27"/>
  <c r="AV36" i="27"/>
  <c r="BK42" i="2" s="1"/>
  <c r="AG36" i="27"/>
  <c r="AF36" i="27"/>
  <c r="AJ36" i="27" s="1"/>
  <c r="S36" i="27"/>
  <c r="U36" i="27" s="1"/>
  <c r="AA36" i="27" s="1"/>
  <c r="R36" i="27"/>
  <c r="P36" i="27"/>
  <c r="N36" i="27"/>
  <c r="AV35" i="27"/>
  <c r="BK41" i="2" s="1"/>
  <c r="AG35" i="27"/>
  <c r="AF35" i="27"/>
  <c r="AJ35" i="27" s="1"/>
  <c r="S35" i="27"/>
  <c r="U35" i="27" s="1"/>
  <c r="AA35" i="27" s="1"/>
  <c r="R35" i="27"/>
  <c r="P35" i="27"/>
  <c r="N35" i="27"/>
  <c r="AV34" i="27"/>
  <c r="BK40" i="2" s="1"/>
  <c r="AG34" i="27"/>
  <c r="AF34" i="27"/>
  <c r="AJ34" i="27" s="1"/>
  <c r="AE34" i="27"/>
  <c r="AB34" i="27"/>
  <c r="AA34" i="27"/>
  <c r="S34" i="27"/>
  <c r="AV33" i="27"/>
  <c r="BK39" i="2" s="1"/>
  <c r="AG33" i="27"/>
  <c r="AF33" i="27"/>
  <c r="AJ33" i="27" s="1"/>
  <c r="S33" i="27"/>
  <c r="T33" i="27" s="1"/>
  <c r="R33" i="27"/>
  <c r="P33" i="27"/>
  <c r="N33" i="27"/>
  <c r="AV32" i="27"/>
  <c r="BK38" i="2" s="1"/>
  <c r="AG32" i="27"/>
  <c r="AF32" i="27"/>
  <c r="AJ32" i="27" s="1"/>
  <c r="S32" i="27"/>
  <c r="T32" i="27" s="1"/>
  <c r="R32" i="27"/>
  <c r="P32" i="27"/>
  <c r="N32" i="27"/>
  <c r="AV31" i="27"/>
  <c r="BK37" i="2" s="1"/>
  <c r="AG31" i="27"/>
  <c r="AF31" i="27"/>
  <c r="AJ31" i="27" s="1"/>
  <c r="S31" i="27"/>
  <c r="U31" i="27" s="1"/>
  <c r="AA31" i="27" s="1"/>
  <c r="R31" i="27"/>
  <c r="P31" i="27"/>
  <c r="N31" i="27"/>
  <c r="AV30" i="27"/>
  <c r="BK36" i="2" s="1"/>
  <c r="AG30" i="27"/>
  <c r="AF30" i="27"/>
  <c r="S30" i="27"/>
  <c r="U30" i="27" s="1"/>
  <c r="AD30" i="27" s="1"/>
  <c r="R30" i="27"/>
  <c r="P30" i="27"/>
  <c r="N30" i="27"/>
  <c r="AV29" i="27"/>
  <c r="BK35" i="2" s="1"/>
  <c r="AG29" i="27"/>
  <c r="AF29" i="27"/>
  <c r="S29" i="27"/>
  <c r="U29" i="27" s="1"/>
  <c r="R29" i="27"/>
  <c r="P29" i="27"/>
  <c r="N29" i="27"/>
  <c r="AV28" i="27"/>
  <c r="BK34" i="2" s="1"/>
  <c r="AK28" i="27"/>
  <c r="AJ28" i="27"/>
  <c r="AB28" i="27"/>
  <c r="AA28" i="27"/>
  <c r="S28" i="27"/>
  <c r="T28" i="27" s="1"/>
  <c r="R28" i="27"/>
  <c r="P28" i="27"/>
  <c r="N28" i="27"/>
  <c r="AV26" i="27"/>
  <c r="BK32" i="2" s="1"/>
  <c r="AG26" i="27"/>
  <c r="AF26" i="27"/>
  <c r="AE26" i="27"/>
  <c r="AD26" i="27"/>
  <c r="AB26" i="27"/>
  <c r="AA26" i="27"/>
  <c r="S26" i="27"/>
  <c r="T26" i="27" s="1"/>
  <c r="R26" i="27"/>
  <c r="P26" i="27"/>
  <c r="N26" i="27"/>
  <c r="AV24" i="27"/>
  <c r="BK30" i="2" s="1"/>
  <c r="AG24" i="27"/>
  <c r="AK24" i="27" s="1"/>
  <c r="AF24" i="27"/>
  <c r="AJ24" i="27" s="1"/>
  <c r="AB24" i="27"/>
  <c r="AA24" i="27"/>
  <c r="S24" i="27"/>
  <c r="T24" i="27" s="1"/>
  <c r="R24" i="27"/>
  <c r="P24" i="27"/>
  <c r="N24" i="27"/>
  <c r="AV23" i="27"/>
  <c r="BK29" i="2" s="1"/>
  <c r="AK23" i="27"/>
  <c r="AJ23" i="27"/>
  <c r="AB23" i="27"/>
  <c r="AA23" i="27"/>
  <c r="S23" i="27"/>
  <c r="T23" i="27" s="1"/>
  <c r="R23" i="27"/>
  <c r="P23" i="27"/>
  <c r="N23" i="27"/>
  <c r="AV21" i="27"/>
  <c r="BK27" i="2" s="1"/>
  <c r="AG21" i="27"/>
  <c r="AK21" i="27" s="1"/>
  <c r="AF21" i="27"/>
  <c r="AJ21" i="27" s="1"/>
  <c r="AB21" i="27"/>
  <c r="AA21" i="27"/>
  <c r="S21" i="27"/>
  <c r="T21" i="27" s="1"/>
  <c r="R21" i="27"/>
  <c r="P21" i="27"/>
  <c r="N21" i="27"/>
  <c r="AV20" i="27"/>
  <c r="BK26" i="2" s="1"/>
  <c r="AG20" i="27"/>
  <c r="AK20" i="27" s="1"/>
  <c r="AF20" i="27"/>
  <c r="AJ20" i="27" s="1"/>
  <c r="AB20" i="27"/>
  <c r="AA20" i="27"/>
  <c r="S20" i="27"/>
  <c r="T20" i="27" s="1"/>
  <c r="R20" i="27"/>
  <c r="P20" i="27"/>
  <c r="N20" i="27"/>
  <c r="AV19" i="27"/>
  <c r="BK25" i="2" s="1"/>
  <c r="AG19" i="27"/>
  <c r="AF19" i="27"/>
  <c r="AJ19" i="27" s="1"/>
  <c r="AE19" i="27"/>
  <c r="AB19" i="27"/>
  <c r="AA19" i="27"/>
  <c r="S19" i="27"/>
  <c r="T19" i="27" s="1"/>
  <c r="R19" i="27"/>
  <c r="P19" i="27"/>
  <c r="N19" i="27"/>
  <c r="AV18" i="27"/>
  <c r="BK24" i="2" s="1"/>
  <c r="AG18" i="27"/>
  <c r="AF18" i="27"/>
  <c r="AJ18" i="27" s="1"/>
  <c r="AE18" i="27"/>
  <c r="AB18" i="27"/>
  <c r="AA18" i="27"/>
  <c r="S18" i="27"/>
  <c r="T18" i="27" s="1"/>
  <c r="R18" i="27"/>
  <c r="P18" i="27"/>
  <c r="N18" i="27"/>
  <c r="AV16" i="27"/>
  <c r="BK22" i="2" s="1"/>
  <c r="AG16" i="27"/>
  <c r="AK16" i="27" s="1"/>
  <c r="AF16" i="27"/>
  <c r="AJ16" i="27" s="1"/>
  <c r="AB16" i="27"/>
  <c r="S16" i="27"/>
  <c r="T16" i="27" s="1"/>
  <c r="R16" i="27"/>
  <c r="P16" i="27"/>
  <c r="N16" i="27"/>
  <c r="AV15" i="27"/>
  <c r="BK21" i="2" s="1"/>
  <c r="AG15" i="27"/>
  <c r="AK15" i="27" s="1"/>
  <c r="AF15" i="27"/>
  <c r="AJ15" i="27" s="1"/>
  <c r="AB15" i="27"/>
  <c r="AA15" i="27"/>
  <c r="S15" i="27"/>
  <c r="T15" i="27" s="1"/>
  <c r="R15" i="27"/>
  <c r="P15" i="27"/>
  <c r="N15" i="27"/>
  <c r="AV14" i="27"/>
  <c r="BK20" i="2" s="1"/>
  <c r="AG14" i="27"/>
  <c r="AK14" i="27" s="1"/>
  <c r="AF14" i="27"/>
  <c r="AJ14" i="27" s="1"/>
  <c r="AB14" i="27"/>
  <c r="AA14" i="27"/>
  <c r="S14" i="27"/>
  <c r="T14" i="27" s="1"/>
  <c r="R14" i="27"/>
  <c r="P14" i="27"/>
  <c r="N14" i="27"/>
  <c r="AV12" i="27"/>
  <c r="BK18" i="2" s="1"/>
  <c r="AG12" i="27"/>
  <c r="AF12" i="27"/>
  <c r="AJ12" i="27" s="1"/>
  <c r="AE12" i="27"/>
  <c r="AB12" i="27"/>
  <c r="AA12" i="27"/>
  <c r="S12" i="27"/>
  <c r="T12" i="27" s="1"/>
  <c r="R12" i="27"/>
  <c r="P12" i="27"/>
  <c r="N12" i="27"/>
  <c r="AV11" i="27"/>
  <c r="BK17" i="2" s="1"/>
  <c r="AG11" i="27"/>
  <c r="AF11" i="27"/>
  <c r="AB11" i="27"/>
  <c r="AA11" i="27"/>
  <c r="S11" i="27"/>
  <c r="T11" i="27" s="1"/>
  <c r="R11" i="27"/>
  <c r="P11" i="27"/>
  <c r="N11" i="27"/>
  <c r="AV10" i="27"/>
  <c r="BK16" i="2" s="1"/>
  <c r="AG10" i="27"/>
  <c r="AB10" i="27"/>
  <c r="AA10" i="27"/>
  <c r="S10" i="27"/>
  <c r="T10" i="27" s="1"/>
  <c r="R10" i="27"/>
  <c r="P10" i="27"/>
  <c r="N10" i="27"/>
  <c r="AV9" i="27"/>
  <c r="BK15" i="2" s="1"/>
  <c r="AG9" i="27"/>
  <c r="AF9" i="27"/>
  <c r="AB9" i="27"/>
  <c r="AA9" i="27"/>
  <c r="S9" i="27"/>
  <c r="T9" i="27" s="1"/>
  <c r="R9" i="27"/>
  <c r="P9" i="27"/>
  <c r="N9" i="27"/>
  <c r="AJ30" i="27" l="1"/>
  <c r="AK26" i="27"/>
  <c r="AK19" i="27"/>
  <c r="P67" i="27"/>
  <c r="AC36" i="27"/>
  <c r="N67" i="27"/>
  <c r="AF67" i="27"/>
  <c r="AK58" i="27"/>
  <c r="AG67" i="27"/>
  <c r="U32" i="27"/>
  <c r="AA32" i="27" s="1"/>
  <c r="S67" i="27"/>
  <c r="AJ62" i="27"/>
  <c r="AK18" i="27"/>
  <c r="AK34" i="27"/>
  <c r="AJ58" i="27"/>
  <c r="AK59" i="27"/>
  <c r="U33" i="27"/>
  <c r="AA33" i="27" s="1"/>
  <c r="T30" i="27"/>
  <c r="V30" i="27" s="1"/>
  <c r="AJ26" i="27"/>
  <c r="V32" i="27"/>
  <c r="AE32" i="27" s="1"/>
  <c r="AK32" i="27" s="1"/>
  <c r="T31" i="27"/>
  <c r="V31" i="27" s="1"/>
  <c r="AK62" i="27"/>
  <c r="AK12" i="27"/>
  <c r="V33" i="27"/>
  <c r="AB33" i="27" s="1"/>
  <c r="AJ59" i="27"/>
  <c r="AD29" i="27"/>
  <c r="AJ29" i="27" s="1"/>
  <c r="AA29" i="27"/>
  <c r="AD40" i="27"/>
  <c r="AJ40" i="27" s="1"/>
  <c r="AA40" i="27"/>
  <c r="AA30" i="27"/>
  <c r="T35" i="27"/>
  <c r="V35" i="27" s="1"/>
  <c r="T36" i="27"/>
  <c r="V36" i="27" s="1"/>
  <c r="T29" i="27"/>
  <c r="V29" i="27" s="1"/>
  <c r="T40" i="27"/>
  <c r="V40" i="27" s="1"/>
  <c r="AD67" i="27" l="1"/>
  <c r="AJ67" i="27"/>
  <c r="AB32" i="27"/>
  <c r="AA67" i="27"/>
  <c r="AE33" i="27"/>
  <c r="AK33" i="27" s="1"/>
  <c r="T67" i="27"/>
  <c r="V67" i="27"/>
  <c r="U67" i="27"/>
  <c r="AB31" i="27"/>
  <c r="AE31" i="27"/>
  <c r="AK31" i="27" s="1"/>
  <c r="AE30" i="27"/>
  <c r="AK30" i="27" s="1"/>
  <c r="AB30" i="27"/>
  <c r="AE35" i="27"/>
  <c r="AK35" i="27" s="1"/>
  <c r="AB35" i="27"/>
  <c r="AE29" i="27"/>
  <c r="AB29" i="27"/>
  <c r="AB36" i="27"/>
  <c r="AE36" i="27"/>
  <c r="AK36" i="27" s="1"/>
  <c r="AE40" i="27"/>
  <c r="AK40" i="27" s="1"/>
  <c r="AB40" i="27"/>
  <c r="AB67" i="27" l="1"/>
  <c r="AK29" i="27"/>
  <c r="AK67" i="27" s="1"/>
  <c r="AE67" i="27"/>
  <c r="BB15" i="2"/>
  <c r="AZ15" i="2"/>
  <c r="BH15" i="2" s="1"/>
  <c r="AI64" i="16"/>
  <c r="AF64" i="16"/>
  <c r="AB64" i="16"/>
  <c r="V64" i="16"/>
  <c r="U64" i="16"/>
  <c r="T64" i="16"/>
  <c r="S64" i="16"/>
  <c r="R64" i="16"/>
  <c r="J64" i="16"/>
  <c r="I64" i="16"/>
  <c r="AI63" i="16"/>
  <c r="AF63" i="16"/>
  <c r="AB63" i="16"/>
  <c r="V63" i="16"/>
  <c r="U63" i="16"/>
  <c r="T63" i="16"/>
  <c r="S63" i="16"/>
  <c r="R63" i="16"/>
  <c r="J63" i="16"/>
  <c r="I63" i="16"/>
  <c r="AI62" i="16"/>
  <c r="AF62" i="16"/>
  <c r="AB62" i="16"/>
  <c r="V62" i="16"/>
  <c r="U62" i="16"/>
  <c r="T62" i="16"/>
  <c r="S62" i="16"/>
  <c r="R62" i="16"/>
  <c r="J62" i="16"/>
  <c r="I62" i="16"/>
  <c r="AI61" i="16"/>
  <c r="AF61" i="16"/>
  <c r="AB61" i="16"/>
  <c r="V61" i="16"/>
  <c r="U61" i="16"/>
  <c r="T61" i="16"/>
  <c r="S61" i="16"/>
  <c r="R61" i="16"/>
  <c r="J61" i="16"/>
  <c r="I61" i="16"/>
  <c r="AI60" i="16"/>
  <c r="AF60" i="16"/>
  <c r="AB60" i="16"/>
  <c r="V60" i="16"/>
  <c r="U60" i="16"/>
  <c r="T60" i="16"/>
  <c r="S60" i="16"/>
  <c r="R60" i="16"/>
  <c r="J60" i="16"/>
  <c r="I60" i="16"/>
  <c r="AI59" i="16"/>
  <c r="AF59" i="16"/>
  <c r="AB59" i="16"/>
  <c r="V59" i="16"/>
  <c r="U59" i="16"/>
  <c r="T59" i="16"/>
  <c r="S59" i="16"/>
  <c r="R59" i="16"/>
  <c r="J59" i="16"/>
  <c r="I59" i="16"/>
  <c r="AI58" i="16"/>
  <c r="AF58" i="16"/>
  <c r="AB58" i="16"/>
  <c r="V58" i="16"/>
  <c r="U58" i="16"/>
  <c r="T58" i="16"/>
  <c r="S58" i="16"/>
  <c r="R58" i="16"/>
  <c r="J58" i="16"/>
  <c r="I58" i="16"/>
  <c r="AI57" i="16"/>
  <c r="AF57" i="16"/>
  <c r="AB57" i="16"/>
  <c r="V57" i="16"/>
  <c r="U57" i="16"/>
  <c r="T57" i="16"/>
  <c r="S57" i="16"/>
  <c r="R57" i="16"/>
  <c r="J57" i="16"/>
  <c r="I57" i="16"/>
  <c r="AI56" i="16"/>
  <c r="AF56" i="16"/>
  <c r="AB56" i="16"/>
  <c r="V56" i="16"/>
  <c r="U56" i="16"/>
  <c r="T56" i="16"/>
  <c r="S56" i="16"/>
  <c r="R56" i="16"/>
  <c r="J56" i="16"/>
  <c r="I56" i="16"/>
  <c r="AI55" i="16"/>
  <c r="AF55" i="16"/>
  <c r="AB55" i="16"/>
  <c r="AA55" i="16"/>
  <c r="V55" i="16"/>
  <c r="U55" i="16"/>
  <c r="T55" i="16"/>
  <c r="S55" i="16"/>
  <c r="R55" i="16"/>
  <c r="J55" i="16"/>
  <c r="I55" i="16"/>
  <c r="AI54" i="16"/>
  <c r="AF54" i="16"/>
  <c r="AB54" i="16"/>
  <c r="V54" i="16"/>
  <c r="U54" i="16"/>
  <c r="T54" i="16"/>
  <c r="S54" i="16"/>
  <c r="R54" i="16"/>
  <c r="J54" i="16"/>
  <c r="I54" i="16"/>
  <c r="AI53" i="16"/>
  <c r="AF53" i="16"/>
  <c r="AB53" i="16"/>
  <c r="V53" i="16"/>
  <c r="U53" i="16"/>
  <c r="T53" i="16"/>
  <c r="S53" i="16"/>
  <c r="R53" i="16"/>
  <c r="J53" i="16"/>
  <c r="I53" i="16"/>
  <c r="AI52" i="16"/>
  <c r="AF52" i="16"/>
  <c r="AB52" i="16"/>
  <c r="V52" i="16"/>
  <c r="U52" i="16"/>
  <c r="T52" i="16"/>
  <c r="S52" i="16"/>
  <c r="R52" i="16"/>
  <c r="J52" i="16"/>
  <c r="I52" i="16"/>
  <c r="AI51" i="16"/>
  <c r="AF51" i="16"/>
  <c r="AB51" i="16"/>
  <c r="V51" i="16"/>
  <c r="U51" i="16"/>
  <c r="T51" i="16"/>
  <c r="S51" i="16"/>
  <c r="R51" i="16"/>
  <c r="J51" i="16"/>
  <c r="I51" i="16"/>
  <c r="AI50" i="16"/>
  <c r="AF50" i="16"/>
  <c r="AB50" i="16"/>
  <c r="V50" i="16"/>
  <c r="U50" i="16"/>
  <c r="T50" i="16"/>
  <c r="S50" i="16"/>
  <c r="R50" i="16"/>
  <c r="J50" i="16"/>
  <c r="I50" i="16"/>
  <c r="AI49" i="16"/>
  <c r="AF49" i="16"/>
  <c r="AB49" i="16"/>
  <c r="V49" i="16"/>
  <c r="U49" i="16"/>
  <c r="T49" i="16"/>
  <c r="S49" i="16"/>
  <c r="R49" i="16"/>
  <c r="J49" i="16"/>
  <c r="I49" i="16"/>
  <c r="AI48" i="16"/>
  <c r="AF48" i="16"/>
  <c r="AB48" i="16"/>
  <c r="V48" i="16"/>
  <c r="U48" i="16"/>
  <c r="T48" i="16"/>
  <c r="S48" i="16"/>
  <c r="R48" i="16"/>
  <c r="J48" i="16"/>
  <c r="I48" i="16"/>
  <c r="AI47" i="16"/>
  <c r="AF47" i="16"/>
  <c r="AB47" i="16"/>
  <c r="V47" i="16"/>
  <c r="U47" i="16"/>
  <c r="T47" i="16"/>
  <c r="S47" i="16"/>
  <c r="R47" i="16"/>
  <c r="J47" i="16"/>
  <c r="I47" i="16"/>
  <c r="AI46" i="16"/>
  <c r="AF46" i="16"/>
  <c r="AB46" i="16"/>
  <c r="V46" i="16"/>
  <c r="U46" i="16"/>
  <c r="T46" i="16"/>
  <c r="S46" i="16"/>
  <c r="R46" i="16"/>
  <c r="J46" i="16"/>
  <c r="I46" i="16"/>
  <c r="AI45" i="16"/>
  <c r="AF45" i="16"/>
  <c r="AB45" i="16"/>
  <c r="V45" i="16"/>
  <c r="U45" i="16"/>
  <c r="T45" i="16"/>
  <c r="S45" i="16"/>
  <c r="R45" i="16"/>
  <c r="J45" i="16"/>
  <c r="I45" i="16"/>
  <c r="AI44" i="16"/>
  <c r="AF44" i="16"/>
  <c r="AB44" i="16"/>
  <c r="V44" i="16"/>
  <c r="U44" i="16"/>
  <c r="T44" i="16"/>
  <c r="S44" i="16"/>
  <c r="R44" i="16"/>
  <c r="J44" i="16"/>
  <c r="I44" i="16"/>
  <c r="AI43" i="16"/>
  <c r="AF43" i="16"/>
  <c r="AB43" i="16"/>
  <c r="V43" i="16"/>
  <c r="U43" i="16"/>
  <c r="T43" i="16"/>
  <c r="S43" i="16"/>
  <c r="R43" i="16"/>
  <c r="J43" i="16"/>
  <c r="I43" i="16"/>
  <c r="AI42" i="16"/>
  <c r="AF42" i="16"/>
  <c r="AB42" i="16"/>
  <c r="V42" i="16"/>
  <c r="U42" i="16"/>
  <c r="T42" i="16"/>
  <c r="S42" i="16"/>
  <c r="R42" i="16"/>
  <c r="J42" i="16"/>
  <c r="I42" i="16"/>
  <c r="AI41" i="16"/>
  <c r="AF41" i="16"/>
  <c r="AB41" i="16"/>
  <c r="V41" i="16"/>
  <c r="U41" i="16"/>
  <c r="T41" i="16"/>
  <c r="S41" i="16"/>
  <c r="R41" i="16"/>
  <c r="J41" i="16"/>
  <c r="I41" i="16"/>
  <c r="AI40" i="16"/>
  <c r="AF40" i="16"/>
  <c r="AB40" i="16"/>
  <c r="V40" i="16"/>
  <c r="U40" i="16"/>
  <c r="T40" i="16"/>
  <c r="S40" i="16"/>
  <c r="R40" i="16"/>
  <c r="J40" i="16"/>
  <c r="I40" i="16"/>
  <c r="AI39" i="16"/>
  <c r="AF39" i="16"/>
  <c r="AB39" i="16"/>
  <c r="V39" i="16"/>
  <c r="U39" i="16"/>
  <c r="T39" i="16"/>
  <c r="S39" i="16"/>
  <c r="R39" i="16"/>
  <c r="J39" i="16"/>
  <c r="I39" i="16"/>
  <c r="AI38" i="16"/>
  <c r="AF38" i="16"/>
  <c r="AB38" i="16"/>
  <c r="V38" i="16"/>
  <c r="U38" i="16"/>
  <c r="T38" i="16"/>
  <c r="S38" i="16"/>
  <c r="R38" i="16"/>
  <c r="J38" i="16"/>
  <c r="I38" i="16"/>
  <c r="AI37" i="16"/>
  <c r="AF37" i="16"/>
  <c r="AB37" i="16"/>
  <c r="V37" i="16"/>
  <c r="U37" i="16"/>
  <c r="T37" i="16"/>
  <c r="S37" i="16"/>
  <c r="R37" i="16"/>
  <c r="J37" i="16"/>
  <c r="I37" i="16"/>
  <c r="AI36" i="16"/>
  <c r="AF36" i="16"/>
  <c r="AB36" i="16"/>
  <c r="V36" i="16"/>
  <c r="U36" i="16"/>
  <c r="T36" i="16"/>
  <c r="S36" i="16"/>
  <c r="R36" i="16"/>
  <c r="J36" i="16"/>
  <c r="I36" i="16"/>
  <c r="AI35" i="16"/>
  <c r="AF35" i="16"/>
  <c r="AB35" i="16"/>
  <c r="V35" i="16"/>
  <c r="U35" i="16"/>
  <c r="T35" i="16"/>
  <c r="S35" i="16"/>
  <c r="R35" i="16"/>
  <c r="J35" i="16"/>
  <c r="I35" i="16"/>
  <c r="AI34" i="16"/>
  <c r="AF34" i="16"/>
  <c r="AB34" i="16"/>
  <c r="V34" i="16"/>
  <c r="U34" i="16"/>
  <c r="T34" i="16"/>
  <c r="S34" i="16"/>
  <c r="R34" i="16"/>
  <c r="J34" i="16"/>
  <c r="I34" i="16"/>
  <c r="AI33" i="16"/>
  <c r="AF33" i="16"/>
  <c r="AB33" i="16"/>
  <c r="V33" i="16"/>
  <c r="U33" i="16"/>
  <c r="T33" i="16"/>
  <c r="S33" i="16"/>
  <c r="R33" i="16"/>
  <c r="J33" i="16"/>
  <c r="I33" i="16"/>
  <c r="AI32" i="16"/>
  <c r="AF32" i="16"/>
  <c r="AB32" i="16"/>
  <c r="V32" i="16"/>
  <c r="U32" i="16"/>
  <c r="T32" i="16"/>
  <c r="S32" i="16"/>
  <c r="R32" i="16"/>
  <c r="J32" i="16"/>
  <c r="I32" i="16"/>
  <c r="AI31" i="16"/>
  <c r="AF31" i="16"/>
  <c r="AB31" i="16"/>
  <c r="V31" i="16"/>
  <c r="U31" i="16"/>
  <c r="T31" i="16"/>
  <c r="S31" i="16"/>
  <c r="R31" i="16"/>
  <c r="J31" i="16"/>
  <c r="I31" i="16"/>
  <c r="AI30" i="16"/>
  <c r="AF30" i="16"/>
  <c r="AB30" i="16"/>
  <c r="V30" i="16"/>
  <c r="U30" i="16"/>
  <c r="T30" i="16"/>
  <c r="S30" i="16"/>
  <c r="R30" i="16"/>
  <c r="J30" i="16"/>
  <c r="I30" i="16"/>
  <c r="AI29" i="16"/>
  <c r="AF29" i="16"/>
  <c r="AB29" i="16"/>
  <c r="V29" i="16"/>
  <c r="U29" i="16"/>
  <c r="T29" i="16"/>
  <c r="S29" i="16"/>
  <c r="R29" i="16"/>
  <c r="J29" i="16"/>
  <c r="I29" i="16"/>
  <c r="AI28" i="16"/>
  <c r="AF28" i="16"/>
  <c r="AB28" i="16"/>
  <c r="V28" i="16"/>
  <c r="U28" i="16"/>
  <c r="T28" i="16"/>
  <c r="S28" i="16"/>
  <c r="R28" i="16"/>
  <c r="J28" i="16"/>
  <c r="I28" i="16"/>
  <c r="AI27" i="16"/>
  <c r="AF27" i="16"/>
  <c r="AB27" i="16"/>
  <c r="V27" i="16"/>
  <c r="U27" i="16"/>
  <c r="T27" i="16"/>
  <c r="S27" i="16"/>
  <c r="R27" i="16"/>
  <c r="J27" i="16"/>
  <c r="I27" i="16"/>
  <c r="AI26" i="16"/>
  <c r="AF26" i="16"/>
  <c r="AB26" i="16"/>
  <c r="V26" i="16"/>
  <c r="U26" i="16"/>
  <c r="T26" i="16"/>
  <c r="S26" i="16"/>
  <c r="R26" i="16"/>
  <c r="J26" i="16"/>
  <c r="I26" i="16"/>
  <c r="AI25" i="16"/>
  <c r="AF25" i="16"/>
  <c r="AB25" i="16"/>
  <c r="V25" i="16"/>
  <c r="U25" i="16"/>
  <c r="T25" i="16"/>
  <c r="S25" i="16"/>
  <c r="R25" i="16"/>
  <c r="J25" i="16"/>
  <c r="I25" i="16"/>
  <c r="AI24" i="16"/>
  <c r="AF24" i="16"/>
  <c r="AB24" i="16"/>
  <c r="V24" i="16"/>
  <c r="U24" i="16"/>
  <c r="T24" i="16"/>
  <c r="S24" i="16"/>
  <c r="R24" i="16"/>
  <c r="J24" i="16"/>
  <c r="I24" i="16"/>
  <c r="AI23" i="16"/>
  <c r="AF23" i="16"/>
  <c r="AB23" i="16"/>
  <c r="V23" i="16"/>
  <c r="U23" i="16"/>
  <c r="T23" i="16"/>
  <c r="S23" i="16"/>
  <c r="R23" i="16"/>
  <c r="J23" i="16"/>
  <c r="I23" i="16"/>
  <c r="AI22" i="16"/>
  <c r="AF22" i="16"/>
  <c r="AB22" i="16"/>
  <c r="V22" i="16"/>
  <c r="U22" i="16"/>
  <c r="T22" i="16"/>
  <c r="S22" i="16"/>
  <c r="R22" i="16"/>
  <c r="J22" i="16"/>
  <c r="I22" i="16"/>
  <c r="AI21" i="16"/>
  <c r="AF21" i="16"/>
  <c r="AB21" i="16"/>
  <c r="V21" i="16"/>
  <c r="U21" i="16"/>
  <c r="T21" i="16"/>
  <c r="S21" i="16"/>
  <c r="R21" i="16"/>
  <c r="J21" i="16"/>
  <c r="I21" i="16"/>
  <c r="AI20" i="16"/>
  <c r="AF20" i="16"/>
  <c r="AB20" i="16"/>
  <c r="V20" i="16"/>
  <c r="U20" i="16"/>
  <c r="T20" i="16"/>
  <c r="S20" i="16"/>
  <c r="R20" i="16"/>
  <c r="J20" i="16"/>
  <c r="I20" i="16"/>
  <c r="AI19" i="16"/>
  <c r="AF19" i="16"/>
  <c r="AB19" i="16"/>
  <c r="V19" i="16"/>
  <c r="U19" i="16"/>
  <c r="T19" i="16"/>
  <c r="S19" i="16"/>
  <c r="R19" i="16"/>
  <c r="J19" i="16"/>
  <c r="I19" i="16"/>
  <c r="AI18" i="16"/>
  <c r="AF18" i="16"/>
  <c r="AB18" i="16"/>
  <c r="V18" i="16"/>
  <c r="U18" i="16"/>
  <c r="T18" i="16"/>
  <c r="S18" i="16"/>
  <c r="R18" i="16"/>
  <c r="J18" i="16"/>
  <c r="I18" i="16"/>
  <c r="AI17" i="16"/>
  <c r="AF17" i="16"/>
  <c r="AB17" i="16"/>
  <c r="V17" i="16"/>
  <c r="U17" i="16"/>
  <c r="T17" i="16"/>
  <c r="S17" i="16"/>
  <c r="R17" i="16"/>
  <c r="J17" i="16"/>
  <c r="I17" i="16"/>
  <c r="AI16" i="16"/>
  <c r="AF16" i="16"/>
  <c r="AB16" i="16"/>
  <c r="V16" i="16"/>
  <c r="U16" i="16"/>
  <c r="T16" i="16"/>
  <c r="S16" i="16"/>
  <c r="R16" i="16"/>
  <c r="J16" i="16"/>
  <c r="I16" i="16"/>
  <c r="AI15" i="16"/>
  <c r="AF15" i="16"/>
  <c r="AB15" i="16"/>
  <c r="V15" i="16"/>
  <c r="U15" i="16"/>
  <c r="T15" i="16"/>
  <c r="S15" i="16"/>
  <c r="R15" i="16"/>
  <c r="J15" i="16"/>
  <c r="I15" i="16"/>
  <c r="AI14" i="16"/>
  <c r="AF14" i="16"/>
  <c r="AB14" i="16"/>
  <c r="V14" i="16"/>
  <c r="U14" i="16"/>
  <c r="T14" i="16"/>
  <c r="S14" i="16"/>
  <c r="R14" i="16"/>
  <c r="J14" i="16"/>
  <c r="I14" i="16"/>
  <c r="AI13" i="16"/>
  <c r="AF13" i="16"/>
  <c r="AB13" i="16"/>
  <c r="V13" i="16"/>
  <c r="U13" i="16"/>
  <c r="T13" i="16"/>
  <c r="S13" i="16"/>
  <c r="R13" i="16"/>
  <c r="J13" i="16"/>
  <c r="I13" i="16"/>
  <c r="AI12" i="16"/>
  <c r="AF12" i="16"/>
  <c r="AB12" i="16"/>
  <c r="V12" i="16"/>
  <c r="U12" i="16"/>
  <c r="T12" i="16"/>
  <c r="S12" i="16"/>
  <c r="R12" i="16"/>
  <c r="J12" i="16"/>
  <c r="I12" i="16"/>
  <c r="AI11" i="16"/>
  <c r="AF11" i="16"/>
  <c r="AB11" i="16"/>
  <c r="V11" i="16"/>
  <c r="U11" i="16"/>
  <c r="T11" i="16"/>
  <c r="S11" i="16"/>
  <c r="R11" i="16"/>
  <c r="J11" i="16"/>
  <c r="I11" i="16"/>
  <c r="AI10" i="16"/>
  <c r="AF10" i="16"/>
  <c r="AB10" i="16"/>
  <c r="V10" i="16"/>
  <c r="U10" i="16"/>
  <c r="T10" i="16"/>
  <c r="S10" i="16"/>
  <c r="R10" i="16"/>
  <c r="J10" i="16"/>
  <c r="I10" i="16"/>
  <c r="AI9" i="16"/>
  <c r="AF9" i="16"/>
  <c r="AB9" i="16"/>
  <c r="V9" i="16"/>
  <c r="U9" i="16"/>
  <c r="T9" i="16"/>
  <c r="S9" i="16"/>
  <c r="R9" i="16"/>
  <c r="J9" i="16"/>
  <c r="I9" i="16"/>
  <c r="AI8" i="16"/>
  <c r="AF8" i="16"/>
  <c r="AC65" i="16"/>
  <c r="AB8" i="16"/>
  <c r="V8" i="16"/>
  <c r="U8" i="16"/>
  <c r="T8" i="16"/>
  <c r="S8" i="16"/>
  <c r="R8" i="16"/>
  <c r="M65" i="16"/>
  <c r="J8" i="16"/>
  <c r="I8" i="16"/>
  <c r="AJ65" i="16"/>
  <c r="AH65" i="16"/>
  <c r="AG65" i="16"/>
  <c r="AE65" i="16"/>
  <c r="AD65" i="16"/>
  <c r="W65" i="16"/>
  <c r="Q65" i="16"/>
  <c r="P65" i="16"/>
  <c r="O65" i="16"/>
  <c r="N65" i="16"/>
  <c r="L65" i="16"/>
  <c r="AJ65" i="34"/>
  <c r="AI65" i="34"/>
  <c r="AH65" i="34"/>
  <c r="AG65" i="34"/>
  <c r="AF65" i="34"/>
  <c r="AE65" i="34"/>
  <c r="AD65" i="34"/>
  <c r="AC65" i="34"/>
  <c r="AB65" i="34"/>
  <c r="W65" i="34"/>
  <c r="V65" i="34"/>
  <c r="U65" i="34"/>
  <c r="T65" i="34"/>
  <c r="S65" i="34"/>
  <c r="R65" i="34"/>
  <c r="Q65" i="34"/>
  <c r="P65" i="34"/>
  <c r="O65" i="34"/>
  <c r="N65" i="34"/>
  <c r="M65" i="34"/>
  <c r="L65" i="34"/>
  <c r="J65" i="34"/>
  <c r="I65" i="34"/>
  <c r="AJ65" i="39"/>
  <c r="AI65" i="39"/>
  <c r="AH65" i="39"/>
  <c r="AG65" i="39"/>
  <c r="AF65" i="39"/>
  <c r="AE65" i="39"/>
  <c r="AD65" i="39"/>
  <c r="AC65" i="39"/>
  <c r="AB65" i="39"/>
  <c r="W65" i="39"/>
  <c r="V65" i="39"/>
  <c r="U65" i="39"/>
  <c r="T65" i="39"/>
  <c r="S65" i="39"/>
  <c r="R65" i="39"/>
  <c r="Q65" i="39"/>
  <c r="P65" i="39"/>
  <c r="O65" i="39"/>
  <c r="N65" i="39"/>
  <c r="M65" i="39"/>
  <c r="L65" i="39"/>
  <c r="J65" i="39"/>
  <c r="I65" i="39"/>
  <c r="AJ65" i="33"/>
  <c r="AI65" i="33"/>
  <c r="AH65" i="33"/>
  <c r="AG65" i="33"/>
  <c r="AF65" i="33"/>
  <c r="AE65" i="33"/>
  <c r="AD65" i="33"/>
  <c r="AC65" i="33"/>
  <c r="AB65" i="33"/>
  <c r="W65" i="33"/>
  <c r="V65" i="33"/>
  <c r="U65" i="33"/>
  <c r="T65" i="33"/>
  <c r="S65" i="33"/>
  <c r="R65" i="33"/>
  <c r="Q65" i="33"/>
  <c r="P65" i="33"/>
  <c r="O65" i="33"/>
  <c r="N65" i="33"/>
  <c r="M65" i="33"/>
  <c r="L65" i="33"/>
  <c r="J65" i="33"/>
  <c r="I65" i="33"/>
  <c r="AI65" i="16" l="1"/>
  <c r="AB65" i="16"/>
  <c r="U65" i="16"/>
  <c r="S65" i="16"/>
  <c r="J65" i="16"/>
  <c r="AF65" i="16"/>
  <c r="V65" i="16"/>
  <c r="T65" i="16"/>
  <c r="R65" i="16"/>
  <c r="I65" i="16"/>
  <c r="AA65" i="33"/>
  <c r="AA65" i="39"/>
  <c r="AA65" i="34"/>
  <c r="AG65" i="5" l="1"/>
  <c r="AF65" i="5"/>
  <c r="AA64" i="5"/>
  <c r="AA64" i="16" s="1"/>
  <c r="AA63" i="5"/>
  <c r="AA63" i="16" s="1"/>
  <c r="AA62" i="5"/>
  <c r="AA62" i="16" s="1"/>
  <c r="AA61" i="5"/>
  <c r="AA61" i="16" s="1"/>
  <c r="AA60" i="5"/>
  <c r="AA60" i="16" s="1"/>
  <c r="AA59" i="5"/>
  <c r="AA59" i="16" s="1"/>
  <c r="AA58" i="5"/>
  <c r="AA58" i="16" s="1"/>
  <c r="AA57" i="5"/>
  <c r="AA57" i="16" s="1"/>
  <c r="AA56" i="5"/>
  <c r="AA56" i="16" s="1"/>
  <c r="AA54" i="16"/>
  <c r="AA53" i="16"/>
  <c r="AA52" i="5"/>
  <c r="AA52" i="16" s="1"/>
  <c r="AA51" i="5"/>
  <c r="AA51" i="16" s="1"/>
  <c r="AA50" i="5"/>
  <c r="AA50" i="16" s="1"/>
  <c r="AA49" i="5"/>
  <c r="AA49" i="16" s="1"/>
  <c r="AA48" i="5"/>
  <c r="AA48" i="16" s="1"/>
  <c r="AA47" i="5"/>
  <c r="AA47" i="16" s="1"/>
  <c r="AA46" i="5"/>
  <c r="AA46" i="16" s="1"/>
  <c r="AA45" i="5"/>
  <c r="AA45" i="16" s="1"/>
  <c r="AA44" i="5"/>
  <c r="AA44" i="16" s="1"/>
  <c r="AA43" i="5"/>
  <c r="AA43" i="16" s="1"/>
  <c r="AA42" i="5"/>
  <c r="AA42" i="16" s="1"/>
  <c r="AA41" i="5"/>
  <c r="AA41" i="16" s="1"/>
  <c r="AA40" i="5"/>
  <c r="AA40" i="16" s="1"/>
  <c r="AA39" i="5"/>
  <c r="AA39" i="16" s="1"/>
  <c r="AA38" i="5"/>
  <c r="AA38" i="16" s="1"/>
  <c r="AA37" i="5"/>
  <c r="AA37" i="16" s="1"/>
  <c r="AA36" i="5"/>
  <c r="AA36" i="16" s="1"/>
  <c r="AA35" i="5"/>
  <c r="AA35" i="16" s="1"/>
  <c r="AA34" i="5"/>
  <c r="AA34" i="16" s="1"/>
  <c r="AA33" i="5"/>
  <c r="AA33" i="16" s="1"/>
  <c r="AA32" i="5"/>
  <c r="AA32" i="16" s="1"/>
  <c r="AA31" i="5"/>
  <c r="AA31" i="16" s="1"/>
  <c r="AA30" i="5"/>
  <c r="AA30" i="16" s="1"/>
  <c r="AA29" i="5"/>
  <c r="AA29" i="16" s="1"/>
  <c r="AA28" i="5"/>
  <c r="AA28" i="16" s="1"/>
  <c r="AA27" i="5"/>
  <c r="AA27" i="16" s="1"/>
  <c r="AA26" i="5"/>
  <c r="AA26" i="16" s="1"/>
  <c r="AA25" i="5"/>
  <c r="AA25" i="16" s="1"/>
  <c r="AA24" i="5"/>
  <c r="AA24" i="16" s="1"/>
  <c r="AA23" i="5"/>
  <c r="AA23" i="16" s="1"/>
  <c r="AA22" i="5"/>
  <c r="AA22" i="16" s="1"/>
  <c r="AA21" i="5"/>
  <c r="AA21" i="16" s="1"/>
  <c r="AA20" i="5"/>
  <c r="AA20" i="16" s="1"/>
  <c r="AA19" i="5"/>
  <c r="AA19" i="16" s="1"/>
  <c r="AA18" i="5"/>
  <c r="AA18" i="16" s="1"/>
  <c r="AA17" i="5"/>
  <c r="AA17" i="16" s="1"/>
  <c r="AA16" i="5"/>
  <c r="AA16" i="16" s="1"/>
  <c r="AA15" i="5"/>
  <c r="AA15" i="16" s="1"/>
  <c r="AA14" i="5"/>
  <c r="AA14" i="16" s="1"/>
  <c r="AA13" i="5"/>
  <c r="AA13" i="16" s="1"/>
  <c r="AA12" i="5"/>
  <c r="AA12" i="16" s="1"/>
  <c r="AA11" i="5"/>
  <c r="AA11" i="16" s="1"/>
  <c r="AA10" i="5"/>
  <c r="AA10" i="16" s="1"/>
  <c r="AA9" i="5"/>
  <c r="AA9" i="16" s="1"/>
  <c r="AA8" i="5"/>
  <c r="AA8" i="16" s="1"/>
  <c r="F16" i="11"/>
  <c r="G16" i="11"/>
  <c r="H16" i="11"/>
  <c r="AA65" i="16" l="1"/>
  <c r="AA65" i="5"/>
  <c r="I21" i="11" l="1"/>
  <c r="I19" i="11"/>
  <c r="I17" i="11"/>
  <c r="I65" i="5" l="1"/>
  <c r="BQ70" i="2" l="1"/>
  <c r="BQ69" i="2"/>
  <c r="BQ68" i="2"/>
  <c r="BQ67" i="2"/>
  <c r="BQ66" i="2"/>
  <c r="BQ64" i="2"/>
  <c r="BQ63" i="2"/>
  <c r="BQ62" i="2"/>
  <c r="BQ61" i="2"/>
  <c r="BQ60" i="2"/>
  <c r="BQ59" i="2"/>
  <c r="BQ57" i="2"/>
  <c r="BQ56" i="2"/>
  <c r="BQ54" i="2"/>
  <c r="BQ52" i="2"/>
  <c r="BQ51" i="2"/>
  <c r="BQ50" i="2"/>
  <c r="BQ48" i="2"/>
  <c r="BQ47" i="2"/>
  <c r="BQ45" i="2"/>
  <c r="BQ44" i="2"/>
  <c r="BQ43" i="2"/>
  <c r="BQ41" i="2"/>
  <c r="BQ40" i="2"/>
  <c r="BQ39" i="2"/>
  <c r="BQ38" i="2"/>
  <c r="BQ37" i="2"/>
  <c r="BQ36" i="2"/>
  <c r="BQ35" i="2"/>
  <c r="BQ34" i="2"/>
  <c r="BQ33" i="2"/>
  <c r="BQ31" i="2"/>
  <c r="BQ29" i="2"/>
  <c r="BQ22" i="2"/>
  <c r="BQ21" i="2"/>
  <c r="BQ20" i="2"/>
  <c r="BQ18" i="2"/>
  <c r="BQ17" i="2"/>
  <c r="BQ16" i="2"/>
  <c r="BQ15" i="2"/>
  <c r="BQ27" i="2"/>
  <c r="BQ26" i="2"/>
  <c r="BQ25" i="2"/>
  <c r="BQ24" i="2"/>
  <c r="J21" i="11"/>
  <c r="J19" i="11"/>
  <c r="J17" i="11"/>
  <c r="J15" i="11"/>
  <c r="H21" i="11"/>
  <c r="G21" i="11"/>
  <c r="F21" i="11"/>
  <c r="H19" i="11"/>
  <c r="G19" i="11"/>
  <c r="F19" i="11"/>
  <c r="F17" i="11"/>
  <c r="G17" i="11"/>
  <c r="H17" i="11"/>
  <c r="E21" i="11"/>
  <c r="D21" i="11"/>
  <c r="C21" i="11"/>
  <c r="E19" i="11"/>
  <c r="D19" i="11"/>
  <c r="C19" i="11"/>
  <c r="E15" i="11"/>
  <c r="E17" i="11"/>
  <c r="D17" i="11"/>
  <c r="C17" i="11"/>
  <c r="C15" i="11"/>
  <c r="M71" i="2"/>
  <c r="C16" i="11" l="1"/>
  <c r="D22" i="11"/>
  <c r="J16" i="11"/>
  <c r="E20" i="11"/>
  <c r="E22" i="11"/>
  <c r="D20" i="11"/>
  <c r="J18" i="11"/>
  <c r="C20" i="11"/>
  <c r="I20" i="11"/>
  <c r="J20" i="11"/>
  <c r="C18" i="11"/>
  <c r="I18" i="11"/>
  <c r="J22" i="11"/>
  <c r="C22" i="11"/>
  <c r="I22" i="11"/>
  <c r="D16" i="11"/>
  <c r="E16" i="11"/>
  <c r="D18" i="11"/>
  <c r="E18" i="11"/>
  <c r="M65" i="2" l="1"/>
  <c r="M58" i="2"/>
  <c r="M55" i="2"/>
  <c r="M53" i="2"/>
  <c r="M49" i="2"/>
  <c r="M46" i="2"/>
  <c r="M42" i="2"/>
  <c r="M30" i="2"/>
  <c r="M28" i="2"/>
  <c r="M23" i="2"/>
  <c r="M19" i="2"/>
  <c r="P71" i="2"/>
  <c r="N71" i="2"/>
  <c r="AZ71" i="2" s="1"/>
  <c r="BH71" i="2" s="1"/>
  <c r="P65" i="2"/>
  <c r="N65" i="2"/>
  <c r="AZ65" i="2" s="1"/>
  <c r="BH65" i="2" s="1"/>
  <c r="P58" i="2"/>
  <c r="N58" i="2"/>
  <c r="AZ58" i="2" s="1"/>
  <c r="BH58" i="2" s="1"/>
  <c r="P55" i="2"/>
  <c r="N55" i="2"/>
  <c r="AZ55" i="2" s="1"/>
  <c r="BH55" i="2" s="1"/>
  <c r="P53" i="2"/>
  <c r="N53" i="2"/>
  <c r="AZ53" i="2" s="1"/>
  <c r="BH53" i="2" s="1"/>
  <c r="P49" i="2"/>
  <c r="N49" i="2"/>
  <c r="AZ49" i="2" s="1"/>
  <c r="BH49" i="2" s="1"/>
  <c r="P46" i="2"/>
  <c r="N46" i="2"/>
  <c r="AZ46" i="2" s="1"/>
  <c r="BH46" i="2" s="1"/>
  <c r="P42" i="2"/>
  <c r="N42" i="2"/>
  <c r="AZ42" i="2" s="1"/>
  <c r="BH42" i="2" s="1"/>
  <c r="P30" i="2"/>
  <c r="N30" i="2"/>
  <c r="AZ30" i="2" s="1"/>
  <c r="BH30" i="2" s="1"/>
  <c r="P28" i="2"/>
  <c r="N28" i="2"/>
  <c r="AZ28" i="2" s="1"/>
  <c r="BH28" i="2" s="1"/>
  <c r="P23" i="2"/>
  <c r="N23" i="2"/>
  <c r="AZ23" i="2" s="1"/>
  <c r="BH23" i="2" s="1"/>
  <c r="P19" i="2"/>
  <c r="N19" i="2"/>
  <c r="AZ19" i="2" s="1"/>
  <c r="BH19" i="2" s="1"/>
  <c r="BB28" i="2" l="1"/>
  <c r="BD28" i="2"/>
  <c r="BB65" i="2"/>
  <c r="BD65" i="2"/>
  <c r="BD58" i="2"/>
  <c r="BB58" i="2"/>
  <c r="BB46" i="2"/>
  <c r="BD46" i="2"/>
  <c r="BB30" i="2"/>
  <c r="BD30" i="2"/>
  <c r="BB53" i="2"/>
  <c r="BD53" i="2"/>
  <c r="BB71" i="2"/>
  <c r="BD71" i="2"/>
  <c r="BB49" i="2"/>
  <c r="BD49" i="2"/>
  <c r="BD18" i="2"/>
  <c r="BD25" i="2"/>
  <c r="BD32" i="2"/>
  <c r="BD51" i="2"/>
  <c r="BD63" i="2"/>
  <c r="BD70" i="2"/>
  <c r="BD16" i="2"/>
  <c r="BD37" i="2"/>
  <c r="BD44" i="2"/>
  <c r="BD56" i="2"/>
  <c r="BB19" i="2"/>
  <c r="BD35" i="2"/>
  <c r="BD47" i="2"/>
  <c r="BD54" i="2"/>
  <c r="BD61" i="2"/>
  <c r="BD68" i="2"/>
  <c r="BD19" i="2"/>
  <c r="BD21" i="2"/>
  <c r="BD33" i="2"/>
  <c r="BD40" i="2"/>
  <c r="BD59" i="2"/>
  <c r="BD66" i="2"/>
  <c r="BD15" i="2"/>
  <c r="BD17" i="2"/>
  <c r="BD26" i="2"/>
  <c r="BD31" i="2"/>
  <c r="BD38" i="2"/>
  <c r="BD45" i="2"/>
  <c r="BD52" i="2"/>
  <c r="BD57" i="2"/>
  <c r="BD64" i="2"/>
  <c r="BD24" i="2"/>
  <c r="BD43" i="2"/>
  <c r="BD50" i="2"/>
  <c r="BD62" i="2"/>
  <c r="BD69" i="2"/>
  <c r="BD22" i="2"/>
  <c r="BD29" i="2"/>
  <c r="BD36" i="2"/>
  <c r="BD41" i="2"/>
  <c r="BD48" i="2"/>
  <c r="BD67" i="2"/>
  <c r="BD20" i="2"/>
  <c r="BD27" i="2"/>
  <c r="BD34" i="2"/>
  <c r="BD39" i="2"/>
  <c r="BD60" i="2"/>
  <c r="BB42" i="2"/>
  <c r="BD42" i="2"/>
  <c r="BB55" i="2"/>
  <c r="BD55" i="2"/>
  <c r="BB23" i="2"/>
  <c r="BD23" i="2"/>
  <c r="H18" i="11"/>
  <c r="G18" i="11"/>
  <c r="F18" i="11"/>
  <c r="P73" i="40"/>
  <c r="N73" i="40"/>
  <c r="CF72" i="40"/>
  <c r="CE72" i="40"/>
  <c r="CD72" i="40"/>
  <c r="CC72" i="40"/>
  <c r="CB72" i="40"/>
  <c r="BQ72" i="40"/>
  <c r="BP72" i="40"/>
  <c r="BK72" i="40"/>
  <c r="BJ72" i="40"/>
  <c r="BI72" i="40"/>
  <c r="BH72" i="40"/>
  <c r="BE72" i="40"/>
  <c r="BD72" i="40"/>
  <c r="BC72" i="40"/>
  <c r="BB72" i="40"/>
  <c r="BA72" i="40"/>
  <c r="AZ72" i="40"/>
  <c r="AX72" i="40"/>
  <c r="AW72" i="40"/>
  <c r="AV72" i="40"/>
  <c r="AU72" i="40"/>
  <c r="AS72" i="40"/>
  <c r="AR72" i="40"/>
  <c r="AH72" i="40"/>
  <c r="AG72" i="40"/>
  <c r="AE72" i="40"/>
  <c r="AC72" i="40"/>
  <c r="AA72" i="40"/>
  <c r="Y72" i="40"/>
  <c r="W72" i="40"/>
  <c r="U72" i="40"/>
  <c r="S72" i="40"/>
  <c r="A70" i="40"/>
  <c r="A69" i="40"/>
  <c r="A68" i="40"/>
  <c r="A67" i="40"/>
  <c r="A66" i="40"/>
  <c r="A65" i="40"/>
  <c r="A64" i="40"/>
  <c r="A63" i="40"/>
  <c r="A62" i="40"/>
  <c r="A61" i="40"/>
  <c r="A60" i="40"/>
  <c r="A59" i="40"/>
  <c r="A58" i="40"/>
  <c r="A57" i="40"/>
  <c r="A56" i="40"/>
  <c r="A55" i="40"/>
  <c r="A54" i="40"/>
  <c r="A53" i="40"/>
  <c r="A52" i="40"/>
  <c r="A51" i="40"/>
  <c r="A50" i="40"/>
  <c r="A49" i="40"/>
  <c r="A48" i="40"/>
  <c r="A47" i="40"/>
  <c r="A46" i="40"/>
  <c r="A45" i="40"/>
  <c r="A44" i="40"/>
  <c r="A43" i="40"/>
  <c r="A42" i="40"/>
  <c r="A41" i="40"/>
  <c r="A40" i="40"/>
  <c r="A39" i="40"/>
  <c r="A38" i="40"/>
  <c r="A37" i="40"/>
  <c r="A36" i="40"/>
  <c r="A35" i="40"/>
  <c r="A34" i="40"/>
  <c r="A33" i="40"/>
  <c r="A32" i="40"/>
  <c r="A31" i="40"/>
  <c r="A30" i="40"/>
  <c r="A29" i="40"/>
  <c r="A28" i="40"/>
  <c r="A27" i="40"/>
  <c r="A26" i="40"/>
  <c r="A25" i="40"/>
  <c r="A24" i="40"/>
  <c r="A23" i="40"/>
  <c r="A22" i="40"/>
  <c r="A21" i="40"/>
  <c r="AL72" i="40"/>
  <c r="A20" i="40"/>
  <c r="A19" i="40"/>
  <c r="A18" i="40"/>
  <c r="A17" i="40"/>
  <c r="A16" i="40"/>
  <c r="AI72" i="40"/>
  <c r="A15" i="40"/>
  <c r="P73" i="42"/>
  <c r="N73" i="42"/>
  <c r="CF72" i="42"/>
  <c r="CE72" i="42"/>
  <c r="CD72" i="42"/>
  <c r="CC72" i="42"/>
  <c r="CB72" i="42"/>
  <c r="BQ72" i="42"/>
  <c r="BP72" i="42"/>
  <c r="BK72" i="42"/>
  <c r="BJ72" i="42"/>
  <c r="BI72" i="42"/>
  <c r="BH72" i="42"/>
  <c r="BE72" i="42"/>
  <c r="BD72" i="42"/>
  <c r="BC72" i="42"/>
  <c r="BB72" i="42"/>
  <c r="BA72" i="42"/>
  <c r="AZ72" i="42"/>
  <c r="AX72" i="42"/>
  <c r="AW72" i="42"/>
  <c r="AV72" i="42"/>
  <c r="AU72" i="42"/>
  <c r="AS72" i="42"/>
  <c r="AR72" i="42"/>
  <c r="AH72" i="42"/>
  <c r="AG72" i="42"/>
  <c r="AE72" i="42"/>
  <c r="AC72" i="42"/>
  <c r="AA72" i="42"/>
  <c r="Y72" i="42"/>
  <c r="W72" i="42"/>
  <c r="U72" i="42"/>
  <c r="S72" i="42"/>
  <c r="A70" i="42"/>
  <c r="A69" i="42"/>
  <c r="A68" i="42"/>
  <c r="A67" i="42"/>
  <c r="A66" i="42"/>
  <c r="A65" i="42"/>
  <c r="A64" i="42"/>
  <c r="A63" i="42"/>
  <c r="A62" i="42"/>
  <c r="A61" i="42"/>
  <c r="A60" i="42"/>
  <c r="A59" i="42"/>
  <c r="A58" i="42"/>
  <c r="A57" i="42"/>
  <c r="A56" i="42"/>
  <c r="A55" i="42"/>
  <c r="A54" i="42"/>
  <c r="A53" i="42"/>
  <c r="A52" i="42"/>
  <c r="A51" i="42"/>
  <c r="A50" i="42"/>
  <c r="A49" i="42"/>
  <c r="A48" i="42"/>
  <c r="A47" i="42"/>
  <c r="A46" i="42"/>
  <c r="A45" i="42"/>
  <c r="A44" i="42"/>
  <c r="A43" i="42"/>
  <c r="A42" i="42"/>
  <c r="A41" i="42"/>
  <c r="A40" i="42"/>
  <c r="A39" i="42"/>
  <c r="A38" i="42"/>
  <c r="A37" i="42"/>
  <c r="A36" i="42"/>
  <c r="A35" i="42"/>
  <c r="A34" i="42"/>
  <c r="A33" i="42"/>
  <c r="A32" i="42"/>
  <c r="A31" i="42"/>
  <c r="A30" i="42"/>
  <c r="A29" i="42"/>
  <c r="A28" i="42"/>
  <c r="A27" i="42"/>
  <c r="A26" i="42"/>
  <c r="A25" i="42"/>
  <c r="A24" i="42"/>
  <c r="A23" i="42"/>
  <c r="A22" i="42"/>
  <c r="A21" i="42"/>
  <c r="A20" i="42"/>
  <c r="A19" i="42"/>
  <c r="A18" i="42"/>
  <c r="A17" i="42"/>
  <c r="A16" i="42"/>
  <c r="AJ72" i="42"/>
  <c r="T72" i="42"/>
  <c r="A15" i="42"/>
  <c r="CI72" i="41"/>
  <c r="CH72" i="41"/>
  <c r="CG72" i="41"/>
  <c r="CF72" i="41"/>
  <c r="CE72" i="41"/>
  <c r="BT72" i="41"/>
  <c r="BS72" i="41"/>
  <c r="BL72" i="41"/>
  <c r="BK72" i="41"/>
  <c r="BJ72" i="41"/>
  <c r="AZ72" i="41"/>
  <c r="AY72" i="41"/>
  <c r="AX72" i="41"/>
  <c r="AW72" i="41"/>
  <c r="AU72" i="41"/>
  <c r="AT72" i="41"/>
  <c r="AJ72" i="41"/>
  <c r="AI72" i="41"/>
  <c r="AE72" i="41"/>
  <c r="AC72" i="41"/>
  <c r="AA72" i="41"/>
  <c r="Y72" i="41"/>
  <c r="W72" i="41"/>
  <c r="U72" i="41"/>
  <c r="S72" i="41"/>
  <c r="A70" i="41"/>
  <c r="A69" i="41"/>
  <c r="A68" i="41"/>
  <c r="A67" i="41"/>
  <c r="A66" i="41"/>
  <c r="A65" i="41"/>
  <c r="A64" i="41"/>
  <c r="A63" i="41"/>
  <c r="A62" i="41"/>
  <c r="A61" i="41"/>
  <c r="A60" i="41"/>
  <c r="A59" i="41"/>
  <c r="A58" i="41"/>
  <c r="A57" i="41"/>
  <c r="A56" i="41"/>
  <c r="A55" i="41"/>
  <c r="A54" i="41"/>
  <c r="A53" i="41"/>
  <c r="A52" i="41"/>
  <c r="A51" i="41"/>
  <c r="A50" i="41"/>
  <c r="A49" i="41"/>
  <c r="A48" i="41"/>
  <c r="A47" i="41"/>
  <c r="A46" i="41"/>
  <c r="A45" i="41"/>
  <c r="A44" i="41"/>
  <c r="A43" i="41"/>
  <c r="A42" i="41"/>
  <c r="A41" i="41"/>
  <c r="A40" i="41"/>
  <c r="A39" i="41"/>
  <c r="A38" i="41"/>
  <c r="A37" i="41"/>
  <c r="A36" i="41"/>
  <c r="A35" i="41"/>
  <c r="A34" i="41"/>
  <c r="A33" i="41"/>
  <c r="A32" i="41"/>
  <c r="A31" i="41"/>
  <c r="A30" i="41"/>
  <c r="A29" i="41"/>
  <c r="A28" i="41"/>
  <c r="A27" i="41"/>
  <c r="A26" i="41"/>
  <c r="A25" i="41"/>
  <c r="A24" i="41"/>
  <c r="A23" i="41"/>
  <c r="A22" i="41"/>
  <c r="A21" i="41"/>
  <c r="A20" i="41"/>
  <c r="A19" i="41"/>
  <c r="A18" i="41"/>
  <c r="A17" i="41"/>
  <c r="A16" i="41"/>
  <c r="AP72" i="41"/>
  <c r="Z72" i="41"/>
  <c r="A15" i="41"/>
  <c r="P73" i="2"/>
  <c r="N73" i="2"/>
  <c r="CG72" i="2"/>
  <c r="BR72" i="2"/>
  <c r="BQ72" i="2"/>
  <c r="BK72" i="2"/>
  <c r="BJ72" i="2"/>
  <c r="BI72" i="2"/>
  <c r="BH72" i="2"/>
  <c r="BE72" i="2"/>
  <c r="BC72" i="2"/>
  <c r="BA72" i="2"/>
  <c r="AZ72" i="2"/>
  <c r="AX72" i="2"/>
  <c r="AW72" i="2"/>
  <c r="AV72" i="2"/>
  <c r="AU72" i="2"/>
  <c r="AS72" i="2"/>
  <c r="AR72" i="2"/>
  <c r="AH72" i="2"/>
  <c r="AG72" i="2"/>
  <c r="AE72" i="2"/>
  <c r="AC72" i="2"/>
  <c r="AA72" i="2"/>
  <c r="Y72" i="2"/>
  <c r="W72" i="2"/>
  <c r="U72" i="2"/>
  <c r="S72" i="2"/>
  <c r="AQ70" i="2"/>
  <c r="AP70" i="2"/>
  <c r="AN70" i="2"/>
  <c r="AL70" i="2"/>
  <c r="AJ70" i="2"/>
  <c r="AI70" i="2"/>
  <c r="AF70" i="2"/>
  <c r="AO70" i="2" s="1"/>
  <c r="AD70" i="2"/>
  <c r="AM70" i="2" s="1"/>
  <c r="AB70" i="2"/>
  <c r="AK70" i="2" s="1"/>
  <c r="Z70" i="2"/>
  <c r="X70" i="2"/>
  <c r="V70" i="2"/>
  <c r="T70" i="2"/>
  <c r="A70" i="2"/>
  <c r="AQ69" i="2"/>
  <c r="AP69" i="2"/>
  <c r="AN69" i="2"/>
  <c r="AL69" i="2"/>
  <c r="AJ69" i="2"/>
  <c r="AI69" i="2"/>
  <c r="AF69" i="2"/>
  <c r="AO69" i="2" s="1"/>
  <c r="AD69" i="2"/>
  <c r="AM69" i="2" s="1"/>
  <c r="AB69" i="2"/>
  <c r="AK69" i="2" s="1"/>
  <c r="Z69" i="2"/>
  <c r="X69" i="2"/>
  <c r="V69" i="2"/>
  <c r="T69" i="2"/>
  <c r="A69" i="2"/>
  <c r="Z68" i="2"/>
  <c r="X68" i="2"/>
  <c r="V68" i="2"/>
  <c r="T68" i="2"/>
  <c r="A68" i="2"/>
  <c r="AQ67" i="2"/>
  <c r="AP67" i="2"/>
  <c r="AN67" i="2"/>
  <c r="AL67" i="2"/>
  <c r="AJ67" i="2"/>
  <c r="AI67" i="2"/>
  <c r="AF67" i="2"/>
  <c r="AO67" i="2" s="1"/>
  <c r="AD67" i="2"/>
  <c r="AM67" i="2" s="1"/>
  <c r="AB67" i="2"/>
  <c r="AK67" i="2" s="1"/>
  <c r="Z67" i="2"/>
  <c r="X67" i="2"/>
  <c r="V67" i="2"/>
  <c r="T67" i="2"/>
  <c r="A67" i="2"/>
  <c r="AQ66" i="2"/>
  <c r="AP66" i="2"/>
  <c r="AN66" i="2"/>
  <c r="AL66" i="2"/>
  <c r="AJ66" i="2"/>
  <c r="AI66" i="2"/>
  <c r="AF66" i="2"/>
  <c r="AO66" i="2" s="1"/>
  <c r="AD66" i="2"/>
  <c r="AM66" i="2" s="1"/>
  <c r="AB66" i="2"/>
  <c r="AK66" i="2" s="1"/>
  <c r="Z66" i="2"/>
  <c r="X66" i="2"/>
  <c r="V66" i="2"/>
  <c r="T66" i="2"/>
  <c r="A66" i="2"/>
  <c r="A65" i="2"/>
  <c r="AQ64" i="2"/>
  <c r="AP64" i="2"/>
  <c r="AN64" i="2"/>
  <c r="AL64" i="2"/>
  <c r="AJ64" i="2"/>
  <c r="AI64" i="2"/>
  <c r="AF64" i="2"/>
  <c r="AO64" i="2" s="1"/>
  <c r="AD64" i="2"/>
  <c r="AM64" i="2" s="1"/>
  <c r="AB64" i="2"/>
  <c r="AK64" i="2" s="1"/>
  <c r="Z64" i="2"/>
  <c r="X64" i="2"/>
  <c r="V64" i="2"/>
  <c r="T64" i="2"/>
  <c r="A64" i="2"/>
  <c r="AQ63" i="2"/>
  <c r="AP63" i="2"/>
  <c r="AN63" i="2"/>
  <c r="AL63" i="2"/>
  <c r="AJ63" i="2"/>
  <c r="AI63" i="2"/>
  <c r="AF63" i="2"/>
  <c r="AO63" i="2" s="1"/>
  <c r="AD63" i="2"/>
  <c r="AM63" i="2" s="1"/>
  <c r="AB63" i="2"/>
  <c r="AK63" i="2" s="1"/>
  <c r="Z63" i="2"/>
  <c r="X63" i="2"/>
  <c r="V63" i="2"/>
  <c r="T63" i="2"/>
  <c r="A63" i="2"/>
  <c r="AQ62" i="2"/>
  <c r="AP62" i="2"/>
  <c r="AN62" i="2"/>
  <c r="AL62" i="2"/>
  <c r="AJ62" i="2"/>
  <c r="AI62" i="2"/>
  <c r="AF62" i="2"/>
  <c r="AO62" i="2" s="1"/>
  <c r="AD62" i="2"/>
  <c r="AM62" i="2" s="1"/>
  <c r="AB62" i="2"/>
  <c r="AK62" i="2" s="1"/>
  <c r="Z62" i="2"/>
  <c r="X62" i="2"/>
  <c r="V62" i="2"/>
  <c r="T62" i="2"/>
  <c r="A62" i="2"/>
  <c r="AQ61" i="2"/>
  <c r="AP61" i="2"/>
  <c r="AN61" i="2"/>
  <c r="AL61" i="2"/>
  <c r="AJ61" i="2"/>
  <c r="AI61" i="2"/>
  <c r="AF61" i="2"/>
  <c r="AO61" i="2" s="1"/>
  <c r="AD61" i="2"/>
  <c r="AM61" i="2" s="1"/>
  <c r="AB61" i="2"/>
  <c r="AK61" i="2" s="1"/>
  <c r="Z61" i="2"/>
  <c r="X61" i="2"/>
  <c r="V61" i="2"/>
  <c r="T61" i="2"/>
  <c r="A61" i="2"/>
  <c r="AQ60" i="2"/>
  <c r="AP60" i="2"/>
  <c r="AN60" i="2"/>
  <c r="AL60" i="2"/>
  <c r="AJ60" i="2"/>
  <c r="AI60" i="2"/>
  <c r="AF60" i="2"/>
  <c r="AO60" i="2" s="1"/>
  <c r="AD60" i="2"/>
  <c r="AM60" i="2" s="1"/>
  <c r="AB60" i="2"/>
  <c r="AK60" i="2" s="1"/>
  <c r="Z60" i="2"/>
  <c r="X60" i="2"/>
  <c r="V60" i="2"/>
  <c r="T60" i="2"/>
  <c r="A60" i="2"/>
  <c r="AQ59" i="2"/>
  <c r="AP59" i="2"/>
  <c r="AN59" i="2"/>
  <c r="AL59" i="2"/>
  <c r="AJ59" i="2"/>
  <c r="AI59" i="2"/>
  <c r="AF59" i="2"/>
  <c r="AO59" i="2" s="1"/>
  <c r="AD59" i="2"/>
  <c r="AM59" i="2" s="1"/>
  <c r="AB59" i="2"/>
  <c r="AK59" i="2" s="1"/>
  <c r="Z59" i="2"/>
  <c r="X59" i="2"/>
  <c r="V59" i="2"/>
  <c r="T59" i="2"/>
  <c r="A59" i="2"/>
  <c r="A58" i="2"/>
  <c r="AQ57" i="2"/>
  <c r="AP57" i="2"/>
  <c r="AN57" i="2"/>
  <c r="AL57" i="2"/>
  <c r="AJ57" i="2"/>
  <c r="AI57" i="2"/>
  <c r="AF57" i="2"/>
  <c r="AO57" i="2" s="1"/>
  <c r="AD57" i="2"/>
  <c r="AM57" i="2" s="1"/>
  <c r="AB57" i="2"/>
  <c r="AK57" i="2" s="1"/>
  <c r="Z57" i="2"/>
  <c r="X57" i="2"/>
  <c r="V57" i="2"/>
  <c r="T57" i="2"/>
  <c r="A57" i="2"/>
  <c r="AQ56" i="2"/>
  <c r="AP56" i="2"/>
  <c r="AN56" i="2"/>
  <c r="AL56" i="2"/>
  <c r="AJ56" i="2"/>
  <c r="AF56" i="2"/>
  <c r="AO56" i="2" s="1"/>
  <c r="AD56" i="2"/>
  <c r="AM56" i="2" s="1"/>
  <c r="AB56" i="2"/>
  <c r="AK56" i="2" s="1"/>
  <c r="Z56" i="2"/>
  <c r="X56" i="2"/>
  <c r="V56" i="2"/>
  <c r="T56" i="2"/>
  <c r="A56" i="2"/>
  <c r="A55" i="2"/>
  <c r="AQ54" i="2"/>
  <c r="AP54" i="2"/>
  <c r="AN54" i="2"/>
  <c r="AL54" i="2"/>
  <c r="AJ54" i="2"/>
  <c r="AI54" i="2"/>
  <c r="AF54" i="2"/>
  <c r="AO54" i="2" s="1"/>
  <c r="AD54" i="2"/>
  <c r="AM54" i="2" s="1"/>
  <c r="AB54" i="2"/>
  <c r="AK54" i="2" s="1"/>
  <c r="Z54" i="2"/>
  <c r="X54" i="2"/>
  <c r="V54" i="2"/>
  <c r="T54" i="2"/>
  <c r="A54" i="2"/>
  <c r="A53" i="2"/>
  <c r="AQ52" i="2"/>
  <c r="AP52" i="2"/>
  <c r="AN52" i="2"/>
  <c r="AL52" i="2"/>
  <c r="AJ52" i="2"/>
  <c r="AI52" i="2"/>
  <c r="AF52" i="2"/>
  <c r="AO52" i="2" s="1"/>
  <c r="AD52" i="2"/>
  <c r="AM52" i="2" s="1"/>
  <c r="AB52" i="2"/>
  <c r="AK52" i="2" s="1"/>
  <c r="Z52" i="2"/>
  <c r="X52" i="2"/>
  <c r="V52" i="2"/>
  <c r="T52" i="2"/>
  <c r="A52" i="2"/>
  <c r="AQ51" i="2"/>
  <c r="AP51" i="2"/>
  <c r="AN51" i="2"/>
  <c r="AL51" i="2"/>
  <c r="AJ51" i="2"/>
  <c r="AI51" i="2"/>
  <c r="AF51" i="2"/>
  <c r="AO51" i="2" s="1"/>
  <c r="AD51" i="2"/>
  <c r="AM51" i="2" s="1"/>
  <c r="AB51" i="2"/>
  <c r="AK51" i="2" s="1"/>
  <c r="Z51" i="2"/>
  <c r="X51" i="2"/>
  <c r="V51" i="2"/>
  <c r="T51" i="2"/>
  <c r="A51" i="2"/>
  <c r="AQ50" i="2"/>
  <c r="AP50" i="2"/>
  <c r="AN50" i="2"/>
  <c r="AL50" i="2"/>
  <c r="AJ50" i="2"/>
  <c r="AI50" i="2"/>
  <c r="AF50" i="2"/>
  <c r="AO50" i="2" s="1"/>
  <c r="AD50" i="2"/>
  <c r="AM50" i="2" s="1"/>
  <c r="AB50" i="2"/>
  <c r="AK50" i="2" s="1"/>
  <c r="Z50" i="2"/>
  <c r="X50" i="2"/>
  <c r="V50" i="2"/>
  <c r="T50" i="2"/>
  <c r="A50" i="2"/>
  <c r="A49" i="2"/>
  <c r="AQ48" i="2"/>
  <c r="AP48" i="2"/>
  <c r="AN48" i="2"/>
  <c r="AL48" i="2"/>
  <c r="AJ48" i="2"/>
  <c r="AI48" i="2"/>
  <c r="AF48" i="2"/>
  <c r="AO48" i="2" s="1"/>
  <c r="AD48" i="2"/>
  <c r="AM48" i="2" s="1"/>
  <c r="AB48" i="2"/>
  <c r="AK48" i="2" s="1"/>
  <c r="Z48" i="2"/>
  <c r="X48" i="2"/>
  <c r="V48" i="2"/>
  <c r="T48" i="2"/>
  <c r="A48" i="2"/>
  <c r="AQ47" i="2"/>
  <c r="AP47" i="2"/>
  <c r="AN47" i="2"/>
  <c r="AL47" i="2"/>
  <c r="AJ47" i="2"/>
  <c r="AI47" i="2"/>
  <c r="AF47" i="2"/>
  <c r="AO47" i="2" s="1"/>
  <c r="AD47" i="2"/>
  <c r="AM47" i="2" s="1"/>
  <c r="AB47" i="2"/>
  <c r="AK47" i="2" s="1"/>
  <c r="Z47" i="2"/>
  <c r="X47" i="2"/>
  <c r="V47" i="2"/>
  <c r="T47" i="2"/>
  <c r="A47" i="2"/>
  <c r="A46" i="2"/>
  <c r="AQ45" i="2"/>
  <c r="AP45" i="2"/>
  <c r="AN45" i="2"/>
  <c r="AL45" i="2"/>
  <c r="AJ45" i="2"/>
  <c r="AI45" i="2"/>
  <c r="AF45" i="2"/>
  <c r="AO45" i="2" s="1"/>
  <c r="AD45" i="2"/>
  <c r="AM45" i="2" s="1"/>
  <c r="AB45" i="2"/>
  <c r="AK45" i="2" s="1"/>
  <c r="Z45" i="2"/>
  <c r="X45" i="2"/>
  <c r="V45" i="2"/>
  <c r="T45" i="2"/>
  <c r="A45" i="2"/>
  <c r="AQ44" i="2"/>
  <c r="AP44" i="2"/>
  <c r="AN44" i="2"/>
  <c r="AL44" i="2"/>
  <c r="AJ44" i="2"/>
  <c r="AI44" i="2"/>
  <c r="AF44" i="2"/>
  <c r="AO44" i="2" s="1"/>
  <c r="AD44" i="2"/>
  <c r="AM44" i="2" s="1"/>
  <c r="AB44" i="2"/>
  <c r="AK44" i="2" s="1"/>
  <c r="Z44" i="2"/>
  <c r="X44" i="2"/>
  <c r="V44" i="2"/>
  <c r="T44" i="2"/>
  <c r="A44" i="2"/>
  <c r="AQ43" i="2"/>
  <c r="AP43" i="2"/>
  <c r="AN43" i="2"/>
  <c r="AL43" i="2"/>
  <c r="AJ43" i="2"/>
  <c r="AI43" i="2"/>
  <c r="AF43" i="2"/>
  <c r="AO43" i="2" s="1"/>
  <c r="AD43" i="2"/>
  <c r="AM43" i="2" s="1"/>
  <c r="AB43" i="2"/>
  <c r="AK43" i="2" s="1"/>
  <c r="Z43" i="2"/>
  <c r="X43" i="2"/>
  <c r="V43" i="2"/>
  <c r="T43" i="2"/>
  <c r="A43" i="2"/>
  <c r="A42" i="2"/>
  <c r="AQ41" i="2"/>
  <c r="AP41" i="2"/>
  <c r="AN41" i="2"/>
  <c r="AL41" i="2"/>
  <c r="AJ41" i="2"/>
  <c r="AI41" i="2"/>
  <c r="AF41" i="2"/>
  <c r="AO41" i="2" s="1"/>
  <c r="AD41" i="2"/>
  <c r="AM41" i="2" s="1"/>
  <c r="AB41" i="2"/>
  <c r="AK41" i="2" s="1"/>
  <c r="Z41" i="2"/>
  <c r="X41" i="2"/>
  <c r="V41" i="2"/>
  <c r="T41" i="2"/>
  <c r="A41" i="2"/>
  <c r="AQ40" i="2"/>
  <c r="AP40" i="2"/>
  <c r="AN40" i="2"/>
  <c r="AL40" i="2"/>
  <c r="AJ40" i="2"/>
  <c r="AI40" i="2"/>
  <c r="AF40" i="2"/>
  <c r="AO40" i="2" s="1"/>
  <c r="AD40" i="2"/>
  <c r="AM40" i="2" s="1"/>
  <c r="AB40" i="2"/>
  <c r="AK40" i="2" s="1"/>
  <c r="Z40" i="2"/>
  <c r="X40" i="2"/>
  <c r="V40" i="2"/>
  <c r="T40" i="2"/>
  <c r="A40" i="2"/>
  <c r="AQ39" i="2"/>
  <c r="AP39" i="2"/>
  <c r="AO39" i="2"/>
  <c r="AN39" i="2"/>
  <c r="AM39" i="2"/>
  <c r="AL39" i="2"/>
  <c r="AK39" i="2"/>
  <c r="AJ39" i="2"/>
  <c r="Z39" i="2"/>
  <c r="X39" i="2"/>
  <c r="V39" i="2"/>
  <c r="A39" i="2"/>
  <c r="AQ38" i="2"/>
  <c r="AP38" i="2"/>
  <c r="AN38" i="2"/>
  <c r="AL38" i="2"/>
  <c r="AJ38" i="2"/>
  <c r="AI38" i="2"/>
  <c r="AF38" i="2"/>
  <c r="AO38" i="2" s="1"/>
  <c r="AD38" i="2"/>
  <c r="AM38" i="2" s="1"/>
  <c r="AB38" i="2"/>
  <c r="AK38" i="2" s="1"/>
  <c r="Z38" i="2"/>
  <c r="X38" i="2"/>
  <c r="V38" i="2"/>
  <c r="T38" i="2"/>
  <c r="A38" i="2"/>
  <c r="AQ37" i="2"/>
  <c r="AP37" i="2"/>
  <c r="AN37" i="2"/>
  <c r="AL37" i="2"/>
  <c r="AJ37" i="2"/>
  <c r="AI37" i="2"/>
  <c r="AF37" i="2"/>
  <c r="AO37" i="2" s="1"/>
  <c r="AD37" i="2"/>
  <c r="AM37" i="2" s="1"/>
  <c r="AB37" i="2"/>
  <c r="AK37" i="2" s="1"/>
  <c r="Z37" i="2"/>
  <c r="X37" i="2"/>
  <c r="V37" i="2"/>
  <c r="T37" i="2"/>
  <c r="A37" i="2"/>
  <c r="AQ36" i="2"/>
  <c r="AP36" i="2"/>
  <c r="AN36" i="2"/>
  <c r="AL36" i="2"/>
  <c r="AJ36" i="2"/>
  <c r="AI36" i="2"/>
  <c r="AF36" i="2"/>
  <c r="AO36" i="2" s="1"/>
  <c r="AD36" i="2"/>
  <c r="AM36" i="2" s="1"/>
  <c r="AB36" i="2"/>
  <c r="AK36" i="2" s="1"/>
  <c r="Z36" i="2"/>
  <c r="X36" i="2"/>
  <c r="V36" i="2"/>
  <c r="T36" i="2"/>
  <c r="A36" i="2"/>
  <c r="AQ35" i="2"/>
  <c r="AP35" i="2"/>
  <c r="AN35" i="2"/>
  <c r="AL35" i="2"/>
  <c r="AJ35" i="2"/>
  <c r="AI35" i="2"/>
  <c r="AF35" i="2"/>
  <c r="AO35" i="2" s="1"/>
  <c r="AD35" i="2"/>
  <c r="AM35" i="2" s="1"/>
  <c r="AB35" i="2"/>
  <c r="AK35" i="2" s="1"/>
  <c r="Z35" i="2"/>
  <c r="X35" i="2"/>
  <c r="V35" i="2"/>
  <c r="T35" i="2"/>
  <c r="A35" i="2"/>
  <c r="AQ34" i="2"/>
  <c r="AP34" i="2"/>
  <c r="AN34" i="2"/>
  <c r="AL34" i="2"/>
  <c r="AJ34" i="2"/>
  <c r="AI34" i="2"/>
  <c r="AF34" i="2"/>
  <c r="AO34" i="2" s="1"/>
  <c r="AD34" i="2"/>
  <c r="AM34" i="2" s="1"/>
  <c r="AB34" i="2"/>
  <c r="AK34" i="2" s="1"/>
  <c r="Z34" i="2"/>
  <c r="X34" i="2"/>
  <c r="V34" i="2"/>
  <c r="T34" i="2"/>
  <c r="A34" i="2"/>
  <c r="AQ33" i="2"/>
  <c r="AP33" i="2"/>
  <c r="AN33" i="2"/>
  <c r="AL33" i="2"/>
  <c r="AJ33" i="2"/>
  <c r="AI33" i="2"/>
  <c r="AF33" i="2"/>
  <c r="AO33" i="2" s="1"/>
  <c r="AD33" i="2"/>
  <c r="AM33" i="2" s="1"/>
  <c r="AB33" i="2"/>
  <c r="AK33" i="2" s="1"/>
  <c r="Z33" i="2"/>
  <c r="X33" i="2"/>
  <c r="V33" i="2"/>
  <c r="T33" i="2"/>
  <c r="A33" i="2"/>
  <c r="A32" i="2"/>
  <c r="AQ31" i="2"/>
  <c r="AP31" i="2"/>
  <c r="AN31" i="2"/>
  <c r="AL31" i="2"/>
  <c r="AJ31" i="2"/>
  <c r="AI31" i="2"/>
  <c r="AF31" i="2"/>
  <c r="AO31" i="2" s="1"/>
  <c r="AD31" i="2"/>
  <c r="AM31" i="2" s="1"/>
  <c r="AB31" i="2"/>
  <c r="AK31" i="2" s="1"/>
  <c r="Z31" i="2"/>
  <c r="X31" i="2"/>
  <c r="V31" i="2"/>
  <c r="T31" i="2"/>
  <c r="A31" i="2"/>
  <c r="A30" i="2"/>
  <c r="AQ29" i="2"/>
  <c r="AP29" i="2"/>
  <c r="AN29" i="2"/>
  <c r="AL29" i="2"/>
  <c r="AJ29" i="2"/>
  <c r="AI29" i="2"/>
  <c r="AF29" i="2"/>
  <c r="AO29" i="2" s="1"/>
  <c r="AD29" i="2"/>
  <c r="AM29" i="2" s="1"/>
  <c r="AB29" i="2"/>
  <c r="AK29" i="2" s="1"/>
  <c r="Z29" i="2"/>
  <c r="X29" i="2"/>
  <c r="V29" i="2"/>
  <c r="T29" i="2"/>
  <c r="A29" i="2"/>
  <c r="A28" i="2"/>
  <c r="AQ27" i="2"/>
  <c r="AP27" i="2"/>
  <c r="AN27" i="2"/>
  <c r="AL27" i="2"/>
  <c r="AJ27" i="2"/>
  <c r="AI27" i="2"/>
  <c r="AF27" i="2"/>
  <c r="AO27" i="2" s="1"/>
  <c r="AD27" i="2"/>
  <c r="AM27" i="2" s="1"/>
  <c r="AB27" i="2"/>
  <c r="AK27" i="2" s="1"/>
  <c r="Z27" i="2"/>
  <c r="X27" i="2"/>
  <c r="V27" i="2"/>
  <c r="T27" i="2"/>
  <c r="A27" i="2"/>
  <c r="AQ26" i="2"/>
  <c r="AP26" i="2"/>
  <c r="AN26" i="2"/>
  <c r="AL26" i="2"/>
  <c r="AJ26" i="2"/>
  <c r="AI26" i="2"/>
  <c r="AF26" i="2"/>
  <c r="AO26" i="2" s="1"/>
  <c r="AD26" i="2"/>
  <c r="AM26" i="2" s="1"/>
  <c r="AB26" i="2"/>
  <c r="AK26" i="2" s="1"/>
  <c r="Z26" i="2"/>
  <c r="X26" i="2"/>
  <c r="V26" i="2"/>
  <c r="T26" i="2"/>
  <c r="A26" i="2"/>
  <c r="AQ25" i="2"/>
  <c r="AP25" i="2"/>
  <c r="AN25" i="2"/>
  <c r="AL25" i="2"/>
  <c r="AJ25" i="2"/>
  <c r="AI25" i="2"/>
  <c r="AF25" i="2"/>
  <c r="AO25" i="2" s="1"/>
  <c r="AD25" i="2"/>
  <c r="AM25" i="2" s="1"/>
  <c r="AB25" i="2"/>
  <c r="AK25" i="2" s="1"/>
  <c r="Z25" i="2"/>
  <c r="X25" i="2"/>
  <c r="V25" i="2"/>
  <c r="T25" i="2"/>
  <c r="A25" i="2"/>
  <c r="AQ24" i="2"/>
  <c r="AP24" i="2"/>
  <c r="AN24" i="2"/>
  <c r="AL24" i="2"/>
  <c r="AJ24" i="2"/>
  <c r="AI24" i="2"/>
  <c r="AF24" i="2"/>
  <c r="AO24" i="2" s="1"/>
  <c r="AD24" i="2"/>
  <c r="AM24" i="2" s="1"/>
  <c r="AB24" i="2"/>
  <c r="AK24" i="2" s="1"/>
  <c r="X24" i="2"/>
  <c r="V24" i="2"/>
  <c r="T24" i="2"/>
  <c r="A24" i="2"/>
  <c r="A23" i="2"/>
  <c r="AQ22" i="2"/>
  <c r="AP22" i="2"/>
  <c r="AN22" i="2"/>
  <c r="AL22" i="2"/>
  <c r="AJ22" i="2"/>
  <c r="AI22" i="2"/>
  <c r="AF22" i="2"/>
  <c r="AO22" i="2" s="1"/>
  <c r="AD22" i="2"/>
  <c r="AM22" i="2" s="1"/>
  <c r="AB22" i="2"/>
  <c r="AK22" i="2" s="1"/>
  <c r="Z22" i="2"/>
  <c r="X22" i="2"/>
  <c r="V22" i="2"/>
  <c r="T22" i="2"/>
  <c r="A22" i="2"/>
  <c r="AQ21" i="2"/>
  <c r="AP21" i="2"/>
  <c r="AN21" i="2"/>
  <c r="AL21" i="2"/>
  <c r="AJ21" i="2"/>
  <c r="AI21" i="2"/>
  <c r="AF21" i="2"/>
  <c r="AO21" i="2" s="1"/>
  <c r="AD21" i="2"/>
  <c r="AM21" i="2" s="1"/>
  <c r="AB21" i="2"/>
  <c r="AK21" i="2" s="1"/>
  <c r="Z21" i="2"/>
  <c r="X21" i="2"/>
  <c r="V21" i="2"/>
  <c r="T21" i="2"/>
  <c r="A21" i="2"/>
  <c r="AQ20" i="2"/>
  <c r="AP20" i="2"/>
  <c r="AN20" i="2"/>
  <c r="AL20" i="2"/>
  <c r="AJ20" i="2"/>
  <c r="AI20" i="2"/>
  <c r="AF20" i="2"/>
  <c r="AO20" i="2" s="1"/>
  <c r="AD20" i="2"/>
  <c r="AM20" i="2" s="1"/>
  <c r="AB20" i="2"/>
  <c r="AK20" i="2" s="1"/>
  <c r="Z20" i="2"/>
  <c r="X20" i="2"/>
  <c r="V20" i="2"/>
  <c r="T20" i="2"/>
  <c r="A20" i="2"/>
  <c r="A19" i="2"/>
  <c r="AQ18" i="2"/>
  <c r="AP18" i="2"/>
  <c r="AN18" i="2"/>
  <c r="AL18" i="2"/>
  <c r="AJ18" i="2"/>
  <c r="AI18" i="2"/>
  <c r="AF18" i="2"/>
  <c r="AO18" i="2" s="1"/>
  <c r="AD18" i="2"/>
  <c r="AM18" i="2" s="1"/>
  <c r="AB18" i="2"/>
  <c r="AK18" i="2" s="1"/>
  <c r="Z18" i="2"/>
  <c r="X18" i="2"/>
  <c r="V18" i="2"/>
  <c r="T18" i="2"/>
  <c r="A18" i="2"/>
  <c r="AQ17" i="2"/>
  <c r="AP17" i="2"/>
  <c r="AN17" i="2"/>
  <c r="AL17" i="2"/>
  <c r="AJ17" i="2"/>
  <c r="AI17" i="2"/>
  <c r="AF17" i="2"/>
  <c r="AO17" i="2" s="1"/>
  <c r="AD17" i="2"/>
  <c r="AM17" i="2" s="1"/>
  <c r="AB17" i="2"/>
  <c r="AK17" i="2" s="1"/>
  <c r="Z17" i="2"/>
  <c r="X17" i="2"/>
  <c r="V17" i="2"/>
  <c r="T17" i="2"/>
  <c r="A17" i="2"/>
  <c r="AQ16" i="2"/>
  <c r="AP16" i="2"/>
  <c r="AN16" i="2"/>
  <c r="AL16" i="2"/>
  <c r="AJ16" i="2"/>
  <c r="AI16" i="2"/>
  <c r="AF16" i="2"/>
  <c r="AO16" i="2" s="1"/>
  <c r="AD16" i="2"/>
  <c r="AM16" i="2" s="1"/>
  <c r="AB16" i="2"/>
  <c r="AK16" i="2" s="1"/>
  <c r="Z16" i="2"/>
  <c r="X16" i="2"/>
  <c r="V16" i="2"/>
  <c r="T16" i="2"/>
  <c r="A16" i="2"/>
  <c r="AQ15" i="2"/>
  <c r="AP15" i="2"/>
  <c r="AN15" i="2"/>
  <c r="AL15" i="2"/>
  <c r="AJ15" i="2"/>
  <c r="AI15" i="2"/>
  <c r="AF15" i="2"/>
  <c r="AO15" i="2" s="1"/>
  <c r="AD15" i="2"/>
  <c r="AM15" i="2" s="1"/>
  <c r="AB15" i="2"/>
  <c r="AK15" i="2" s="1"/>
  <c r="Z15" i="2"/>
  <c r="X15" i="2"/>
  <c r="V15" i="2"/>
  <c r="T15" i="2"/>
  <c r="A15" i="2"/>
  <c r="BB72" i="2" l="1"/>
  <c r="BD72" i="2"/>
  <c r="T72" i="2"/>
  <c r="AJ72" i="2"/>
  <c r="AK72" i="2"/>
  <c r="AL72" i="2"/>
  <c r="X72" i="41"/>
  <c r="AI72" i="42"/>
  <c r="V72" i="40"/>
  <c r="V72" i="2"/>
  <c r="AB72" i="41"/>
  <c r="AR72" i="41"/>
  <c r="V72" i="42"/>
  <c r="AL72" i="42"/>
  <c r="T72" i="40"/>
  <c r="AJ72" i="40"/>
  <c r="X72" i="2"/>
  <c r="H20" i="11"/>
  <c r="G20" i="11"/>
  <c r="F20" i="11"/>
  <c r="AD72" i="41"/>
  <c r="AS72" i="41"/>
  <c r="X72" i="42"/>
  <c r="AN72" i="42"/>
  <c r="Z72" i="2"/>
  <c r="AN72" i="2"/>
  <c r="AK72" i="41"/>
  <c r="Z72" i="42"/>
  <c r="AP72" i="42"/>
  <c r="X72" i="40"/>
  <c r="AB72" i="2"/>
  <c r="AB72" i="42"/>
  <c r="AQ72" i="42"/>
  <c r="Z72" i="40"/>
  <c r="AN72" i="40"/>
  <c r="T72" i="41"/>
  <c r="AL72" i="41"/>
  <c r="AB72" i="40"/>
  <c r="AP72" i="40"/>
  <c r="AP72" i="2"/>
  <c r="AQ72" i="2"/>
  <c r="V72" i="41"/>
  <c r="AN72" i="41"/>
  <c r="AO72" i="42"/>
  <c r="AQ72" i="40"/>
  <c r="AI72" i="2"/>
  <c r="AM72" i="40"/>
  <c r="AO72" i="40"/>
  <c r="AK72" i="40"/>
  <c r="AF72" i="40"/>
  <c r="AD72" i="40"/>
  <c r="AM72" i="42"/>
  <c r="AD72" i="42"/>
  <c r="AK72" i="42"/>
  <c r="AF72" i="42"/>
  <c r="AO72" i="41"/>
  <c r="AQ72" i="41"/>
  <c r="AM72" i="41"/>
  <c r="AF72" i="41"/>
  <c r="AM72" i="2"/>
  <c r="AO72" i="2"/>
  <c r="AD72" i="2"/>
  <c r="AF72" i="2"/>
  <c r="A17" i="10"/>
  <c r="A16" i="10"/>
  <c r="A15" i="10"/>
  <c r="A14" i="10"/>
  <c r="A13" i="10"/>
  <c r="A12" i="10"/>
  <c r="A11" i="10"/>
  <c r="A10" i="10"/>
  <c r="A9" i="10"/>
  <c r="A8" i="10"/>
  <c r="AI65" i="5" l="1"/>
  <c r="L65" i="5"/>
  <c r="A64" i="33" l="1"/>
  <c r="A63" i="33"/>
  <c r="A62" i="33"/>
  <c r="A61" i="33"/>
  <c r="A60" i="33"/>
  <c r="A59" i="33"/>
  <c r="A58" i="33"/>
  <c r="A57" i="33"/>
  <c r="A56" i="33"/>
  <c r="A55" i="33"/>
  <c r="A54" i="33"/>
  <c r="A53" i="33"/>
  <c r="A52" i="33"/>
  <c r="A51" i="33"/>
  <c r="A50" i="33"/>
  <c r="A49" i="33"/>
  <c r="A48" i="33"/>
  <c r="A47" i="33"/>
  <c r="A46" i="33"/>
  <c r="A45" i="33"/>
  <c r="A44" i="33"/>
  <c r="A43" i="33"/>
  <c r="A42" i="33"/>
  <c r="A41" i="33"/>
  <c r="A40" i="33"/>
  <c r="A39" i="33"/>
  <c r="A38" i="33"/>
  <c r="A37" i="33"/>
  <c r="A36" i="33"/>
  <c r="A35" i="33"/>
  <c r="A34" i="33"/>
  <c r="A33" i="33"/>
  <c r="A32" i="33"/>
  <c r="A31" i="33"/>
  <c r="A30" i="33"/>
  <c r="A29" i="33"/>
  <c r="A28" i="33"/>
  <c r="A27" i="33"/>
  <c r="A26" i="33"/>
  <c r="A25" i="33"/>
  <c r="A24" i="33"/>
  <c r="A23" i="33"/>
  <c r="A22" i="33"/>
  <c r="A21" i="33"/>
  <c r="A20" i="33"/>
  <c r="A19" i="33"/>
  <c r="A18" i="33"/>
  <c r="A17" i="33"/>
  <c r="A16" i="33"/>
  <c r="A15" i="33"/>
  <c r="A14" i="33"/>
  <c r="A13" i="33"/>
  <c r="A12" i="33"/>
  <c r="A11" i="33"/>
  <c r="A10" i="33"/>
  <c r="A9" i="33"/>
  <c r="A8" i="33"/>
  <c r="A64" i="34"/>
  <c r="A63" i="34"/>
  <c r="A62" i="34"/>
  <c r="A61" i="34"/>
  <c r="A60" i="34"/>
  <c r="A59" i="34"/>
  <c r="A58" i="34"/>
  <c r="A57" i="34"/>
  <c r="A56" i="34"/>
  <c r="A55" i="34"/>
  <c r="A54" i="34"/>
  <c r="A53" i="34"/>
  <c r="A52" i="34"/>
  <c r="A51" i="34"/>
  <c r="A50" i="34"/>
  <c r="A49" i="34"/>
  <c r="A48" i="34"/>
  <c r="A47" i="34"/>
  <c r="A46" i="34"/>
  <c r="A45" i="34"/>
  <c r="A44" i="34"/>
  <c r="A43" i="34"/>
  <c r="A42" i="34"/>
  <c r="A41" i="34"/>
  <c r="A40" i="34"/>
  <c r="A39" i="34"/>
  <c r="A38" i="34"/>
  <c r="A37" i="34"/>
  <c r="A36" i="34"/>
  <c r="A35" i="34"/>
  <c r="A34" i="34"/>
  <c r="A33" i="34"/>
  <c r="A32" i="34"/>
  <c r="A31" i="34"/>
  <c r="A30" i="34"/>
  <c r="A29" i="34"/>
  <c r="A28" i="34"/>
  <c r="A27" i="34"/>
  <c r="A26" i="34"/>
  <c r="A25" i="34"/>
  <c r="A24" i="34"/>
  <c r="A23" i="34"/>
  <c r="A22" i="34"/>
  <c r="A21" i="34"/>
  <c r="A20" i="34"/>
  <c r="A19" i="34"/>
  <c r="A18" i="34"/>
  <c r="A17" i="34"/>
  <c r="A16" i="34"/>
  <c r="A15" i="34"/>
  <c r="A14" i="34"/>
  <c r="A13" i="34"/>
  <c r="A12" i="34"/>
  <c r="A11" i="34"/>
  <c r="A10" i="34"/>
  <c r="A9" i="34"/>
  <c r="A8" i="34"/>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A10" i="39"/>
  <c r="A9" i="39"/>
  <c r="A8" i="39"/>
  <c r="D145" i="3" l="1"/>
  <c r="D142" i="3"/>
  <c r="D139" i="3"/>
  <c r="D136" i="3"/>
  <c r="D133" i="3"/>
  <c r="D130" i="3"/>
  <c r="D127" i="3"/>
  <c r="D162" i="3" s="1"/>
  <c r="D124" i="3"/>
  <c r="D121" i="3"/>
  <c r="D118" i="3"/>
  <c r="D115" i="3"/>
  <c r="D112" i="3"/>
  <c r="D109" i="3"/>
  <c r="D106" i="3"/>
  <c r="D103" i="3"/>
  <c r="D93" i="3"/>
  <c r="D90" i="3"/>
  <c r="D87" i="3"/>
  <c r="D84" i="3"/>
  <c r="D81" i="3"/>
  <c r="D78" i="3"/>
  <c r="D72" i="3"/>
  <c r="D69" i="3"/>
  <c r="D66" i="3"/>
  <c r="D159" i="3" s="1"/>
  <c r="D63" i="3"/>
  <c r="D60" i="3"/>
  <c r="D54" i="3"/>
  <c r="D165" i="3" l="1"/>
  <c r="D161" i="3"/>
  <c r="D167" i="3"/>
  <c r="D163" i="3"/>
  <c r="D157" i="3"/>
  <c r="D158" i="3"/>
  <c r="D160" i="3"/>
  <c r="D166" i="3"/>
  <c r="D168" i="3"/>
  <c r="D164" i="3"/>
  <c r="D156" i="3"/>
  <c r="D155" i="3"/>
  <c r="D154" i="3"/>
  <c r="AC65" i="5"/>
  <c r="AB65" i="5"/>
  <c r="W65" i="5"/>
  <c r="V65" i="5"/>
  <c r="AJ65" i="5"/>
  <c r="AH65" i="5"/>
  <c r="AE65" i="5"/>
  <c r="AD65" i="5"/>
  <c r="U65" i="5"/>
  <c r="T65" i="5"/>
  <c r="S65" i="5"/>
  <c r="R65" i="5"/>
  <c r="Q65" i="5"/>
  <c r="P65" i="5"/>
  <c r="O65" i="5"/>
  <c r="N65" i="5"/>
  <c r="M65" i="5"/>
  <c r="J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J17" i="22" l="1"/>
  <c r="K17" i="22"/>
  <c r="L17" i="22"/>
  <c r="J17" i="28"/>
  <c r="K17" i="28"/>
  <c r="L17" i="28"/>
  <c r="J17" i="29"/>
  <c r="K17" i="29"/>
  <c r="L17" i="29"/>
  <c r="J17" i="31"/>
  <c r="K17" i="31"/>
  <c r="L17" i="31"/>
  <c r="J17" i="3"/>
  <c r="K17" i="3"/>
  <c r="L17" i="3"/>
  <c r="A17" i="22"/>
  <c r="A17" i="28"/>
  <c r="A17" i="29"/>
  <c r="A17" i="31"/>
  <c r="A17" i="3"/>
  <c r="I43" i="31" l="1"/>
  <c r="H43" i="31"/>
  <c r="G43" i="31"/>
  <c r="F43" i="31"/>
  <c r="E43" i="31"/>
  <c r="D43" i="31"/>
  <c r="A42" i="31"/>
  <c r="A41" i="31"/>
  <c r="A40" i="31"/>
  <c r="A39" i="31"/>
  <c r="A38" i="31"/>
  <c r="A37" i="31"/>
  <c r="A36" i="31"/>
  <c r="A35" i="31"/>
  <c r="A34" i="31"/>
  <c r="A33" i="31"/>
  <c r="A32" i="31"/>
  <c r="A31" i="31"/>
  <c r="A30" i="31"/>
  <c r="A29" i="31"/>
  <c r="A28" i="31"/>
  <c r="A27" i="31"/>
  <c r="A26" i="31"/>
  <c r="A25" i="31"/>
  <c r="A24" i="31"/>
  <c r="A23" i="31"/>
  <c r="A22" i="31"/>
  <c r="A21" i="31"/>
  <c r="A20" i="31"/>
  <c r="A19" i="31"/>
  <c r="A18" i="31"/>
  <c r="A16" i="31"/>
  <c r="A15" i="31"/>
  <c r="A14" i="31"/>
  <c r="A13" i="31"/>
  <c r="A12" i="31"/>
  <c r="A11" i="31"/>
  <c r="A10" i="31"/>
  <c r="A9" i="31"/>
  <c r="I43" i="29"/>
  <c r="H43" i="29"/>
  <c r="G43" i="29"/>
  <c r="F43" i="29"/>
  <c r="E43" i="29"/>
  <c r="D43" i="29"/>
  <c r="A42" i="29"/>
  <c r="A41" i="29"/>
  <c r="A40" i="29"/>
  <c r="A39" i="29"/>
  <c r="A38" i="29"/>
  <c r="A37" i="29"/>
  <c r="A36" i="29"/>
  <c r="A35" i="29"/>
  <c r="A34" i="29"/>
  <c r="A33" i="29"/>
  <c r="A32" i="29"/>
  <c r="A31" i="29"/>
  <c r="A30" i="29"/>
  <c r="A29" i="29"/>
  <c r="A28" i="29"/>
  <c r="A27" i="29"/>
  <c r="A26" i="29"/>
  <c r="A25" i="29"/>
  <c r="A24" i="29"/>
  <c r="A23" i="29"/>
  <c r="A22" i="29"/>
  <c r="A21" i="29"/>
  <c r="A20" i="29"/>
  <c r="A19" i="29"/>
  <c r="A18" i="29"/>
  <c r="A16" i="29"/>
  <c r="A15" i="29"/>
  <c r="A14" i="29"/>
  <c r="A13" i="29"/>
  <c r="A12" i="29"/>
  <c r="A11" i="29"/>
  <c r="A10" i="29"/>
  <c r="A9" i="29"/>
  <c r="I43" i="28"/>
  <c r="H43" i="28"/>
  <c r="G43" i="28"/>
  <c r="F43" i="28"/>
  <c r="E43" i="28"/>
  <c r="D43" i="28"/>
  <c r="A42" i="28"/>
  <c r="A41" i="28"/>
  <c r="A40" i="28"/>
  <c r="A39" i="28"/>
  <c r="A38" i="28"/>
  <c r="A37" i="28"/>
  <c r="A36" i="28"/>
  <c r="A35" i="28"/>
  <c r="A34" i="28"/>
  <c r="A33" i="28"/>
  <c r="A32" i="28"/>
  <c r="A31" i="28"/>
  <c r="A30" i="28"/>
  <c r="A29" i="28"/>
  <c r="A28" i="28"/>
  <c r="A27" i="28"/>
  <c r="A26" i="28"/>
  <c r="A25" i="28"/>
  <c r="A24" i="28"/>
  <c r="A23" i="28"/>
  <c r="A22" i="28"/>
  <c r="A21" i="28"/>
  <c r="A20" i="28"/>
  <c r="A19" i="28"/>
  <c r="A18" i="28"/>
  <c r="A16" i="28"/>
  <c r="A15" i="28"/>
  <c r="A14" i="28"/>
  <c r="A13" i="28"/>
  <c r="A12" i="28"/>
  <c r="A11" i="28"/>
  <c r="A10" i="28"/>
  <c r="A9" i="28"/>
  <c r="I43" i="22"/>
  <c r="H43" i="22"/>
  <c r="G43" i="22"/>
  <c r="F43" i="22"/>
  <c r="E43" i="22"/>
  <c r="D43" i="22"/>
  <c r="A42" i="22"/>
  <c r="A41" i="22"/>
  <c r="A40" i="22"/>
  <c r="A39" i="22"/>
  <c r="A38" i="22"/>
  <c r="A37" i="22"/>
  <c r="A36" i="22"/>
  <c r="A35" i="22"/>
  <c r="A34" i="22"/>
  <c r="A33" i="22"/>
  <c r="A32" i="22"/>
  <c r="A31" i="22"/>
  <c r="A30" i="22"/>
  <c r="A29" i="22"/>
  <c r="A28" i="22"/>
  <c r="A27" i="22"/>
  <c r="A26" i="22"/>
  <c r="A25" i="22"/>
  <c r="A24" i="22"/>
  <c r="A23" i="22"/>
  <c r="A22" i="22"/>
  <c r="A21" i="22"/>
  <c r="A20" i="22"/>
  <c r="A19" i="22"/>
  <c r="A18" i="22"/>
  <c r="A16" i="22"/>
  <c r="A15" i="22"/>
  <c r="A14" i="22"/>
  <c r="A13" i="22"/>
  <c r="A12" i="22"/>
  <c r="A11" i="22"/>
  <c r="A10" i="22"/>
  <c r="A9" i="22"/>
  <c r="H169" i="31"/>
  <c r="G169" i="31"/>
  <c r="F169" i="31"/>
  <c r="H168" i="31"/>
  <c r="G168" i="31"/>
  <c r="F168" i="31"/>
  <c r="H167" i="31"/>
  <c r="G167" i="31"/>
  <c r="F167" i="31"/>
  <c r="H166" i="31"/>
  <c r="G166" i="31"/>
  <c r="F166" i="31"/>
  <c r="H165" i="31"/>
  <c r="G165" i="31"/>
  <c r="F165" i="31"/>
  <c r="H164" i="31"/>
  <c r="G164" i="31"/>
  <c r="F164" i="31"/>
  <c r="H163" i="31"/>
  <c r="G163" i="31"/>
  <c r="F163" i="31"/>
  <c r="H162" i="31"/>
  <c r="G162" i="31"/>
  <c r="F162" i="31"/>
  <c r="H161" i="31"/>
  <c r="G161" i="31"/>
  <c r="F161" i="31"/>
  <c r="H160" i="31"/>
  <c r="G160" i="31"/>
  <c r="F160" i="31"/>
  <c r="H159" i="31"/>
  <c r="G159" i="31"/>
  <c r="F159" i="31"/>
  <c r="H158" i="31"/>
  <c r="G158" i="31"/>
  <c r="F158" i="31"/>
  <c r="H157" i="31"/>
  <c r="G157" i="31"/>
  <c r="F157" i="31"/>
  <c r="H156" i="31"/>
  <c r="G156" i="31"/>
  <c r="F156" i="31"/>
  <c r="H155" i="31"/>
  <c r="G155" i="31"/>
  <c r="F155" i="31"/>
  <c r="H154" i="31"/>
  <c r="G154" i="31"/>
  <c r="F154" i="31"/>
  <c r="G145" i="31"/>
  <c r="F145" i="31"/>
  <c r="E145" i="31"/>
  <c r="G144" i="31"/>
  <c r="F144" i="31"/>
  <c r="E144" i="31"/>
  <c r="G143" i="31"/>
  <c r="F143" i="31"/>
  <c r="E143" i="31"/>
  <c r="G142" i="31"/>
  <c r="F142" i="31"/>
  <c r="E142" i="31"/>
  <c r="G141" i="31"/>
  <c r="F141" i="31"/>
  <c r="E141" i="31"/>
  <c r="G140" i="31"/>
  <c r="F140" i="31"/>
  <c r="E140" i="31"/>
  <c r="G139" i="31"/>
  <c r="F139" i="31"/>
  <c r="E139" i="31"/>
  <c r="G138" i="31"/>
  <c r="F138" i="31"/>
  <c r="E138" i="31"/>
  <c r="G137" i="31"/>
  <c r="F137" i="31"/>
  <c r="E137" i="31"/>
  <c r="G136" i="31"/>
  <c r="F136" i="31"/>
  <c r="E136" i="31"/>
  <c r="G135" i="31"/>
  <c r="F135" i="31"/>
  <c r="E135" i="31"/>
  <c r="G134" i="31"/>
  <c r="F134" i="31"/>
  <c r="E134" i="31"/>
  <c r="G133" i="31"/>
  <c r="F133" i="31"/>
  <c r="E133" i="31"/>
  <c r="G132" i="31"/>
  <c r="F132" i="31"/>
  <c r="E132" i="31"/>
  <c r="G131" i="31"/>
  <c r="F131" i="31"/>
  <c r="E131" i="31"/>
  <c r="G130" i="31"/>
  <c r="F130" i="31"/>
  <c r="E130" i="31"/>
  <c r="G129" i="31"/>
  <c r="F129" i="31"/>
  <c r="E129" i="31"/>
  <c r="G128" i="31"/>
  <c r="F128" i="31"/>
  <c r="E128" i="31"/>
  <c r="G127" i="31"/>
  <c r="F127" i="31"/>
  <c r="E127" i="31"/>
  <c r="G126" i="31"/>
  <c r="F126" i="31"/>
  <c r="E126" i="31"/>
  <c r="G125" i="31"/>
  <c r="F125" i="31"/>
  <c r="E125" i="31"/>
  <c r="G124" i="31"/>
  <c r="F124" i="31"/>
  <c r="E124" i="31"/>
  <c r="G123" i="31"/>
  <c r="F123" i="31"/>
  <c r="E123" i="31"/>
  <c r="G122" i="31"/>
  <c r="F122" i="31"/>
  <c r="E122" i="31"/>
  <c r="G121" i="31"/>
  <c r="F121" i="31"/>
  <c r="E121" i="31"/>
  <c r="G120" i="31"/>
  <c r="F120" i="31"/>
  <c r="E120" i="31"/>
  <c r="G119" i="31"/>
  <c r="F119" i="31"/>
  <c r="E119" i="31"/>
  <c r="G118" i="31"/>
  <c r="F118" i="31"/>
  <c r="E118" i="31"/>
  <c r="G117" i="31"/>
  <c r="F117" i="31"/>
  <c r="E117" i="31"/>
  <c r="G116" i="31"/>
  <c r="F116" i="31"/>
  <c r="E116" i="31"/>
  <c r="G115" i="31"/>
  <c r="F115" i="31"/>
  <c r="E115" i="31"/>
  <c r="G114" i="31"/>
  <c r="F114" i="31"/>
  <c r="E114" i="31"/>
  <c r="G113" i="31"/>
  <c r="F113" i="31"/>
  <c r="E113" i="31"/>
  <c r="G112" i="31"/>
  <c r="F112" i="31"/>
  <c r="E112" i="31"/>
  <c r="G111" i="31"/>
  <c r="F111" i="31"/>
  <c r="E111" i="31"/>
  <c r="G110" i="31"/>
  <c r="F110" i="31"/>
  <c r="E110" i="31"/>
  <c r="G109" i="31"/>
  <c r="F109" i="31"/>
  <c r="E109" i="31"/>
  <c r="G108" i="31"/>
  <c r="F108" i="31"/>
  <c r="E108" i="31"/>
  <c r="G107" i="31"/>
  <c r="F107" i="31"/>
  <c r="E107" i="31"/>
  <c r="G106" i="31"/>
  <c r="F106" i="31"/>
  <c r="E106" i="31"/>
  <c r="G105" i="31"/>
  <c r="F105" i="31"/>
  <c r="E105" i="31"/>
  <c r="G104" i="31"/>
  <c r="F104" i="31"/>
  <c r="E104" i="31"/>
  <c r="G103" i="31"/>
  <c r="F103" i="31"/>
  <c r="E103" i="31"/>
  <c r="G102" i="31"/>
  <c r="F102" i="31"/>
  <c r="E102" i="31"/>
  <c r="G101" i="31"/>
  <c r="F101" i="31"/>
  <c r="E101" i="31"/>
  <c r="G93" i="31"/>
  <c r="F93" i="31"/>
  <c r="E93" i="31"/>
  <c r="G92" i="31"/>
  <c r="F92" i="31"/>
  <c r="E92" i="31"/>
  <c r="G91" i="31"/>
  <c r="F91" i="31"/>
  <c r="E91" i="31"/>
  <c r="G90" i="31"/>
  <c r="F90" i="31"/>
  <c r="E90" i="31"/>
  <c r="G89" i="31"/>
  <c r="F89" i="31"/>
  <c r="E89" i="31"/>
  <c r="G88" i="31"/>
  <c r="F88" i="31"/>
  <c r="E88" i="31"/>
  <c r="G87" i="31"/>
  <c r="F87" i="31"/>
  <c r="E87" i="31"/>
  <c r="G86" i="31"/>
  <c r="F86" i="31"/>
  <c r="E86" i="31"/>
  <c r="G85" i="31"/>
  <c r="F85" i="31"/>
  <c r="E85" i="31"/>
  <c r="G84" i="31"/>
  <c r="F84" i="31"/>
  <c r="E84" i="31"/>
  <c r="G83" i="31"/>
  <c r="F83" i="31"/>
  <c r="E83" i="31"/>
  <c r="G82" i="31"/>
  <c r="F82" i="31"/>
  <c r="E82" i="31"/>
  <c r="G81" i="31"/>
  <c r="F81" i="31"/>
  <c r="E81" i="31"/>
  <c r="G80" i="31"/>
  <c r="F80" i="31"/>
  <c r="E80" i="31"/>
  <c r="G79" i="31"/>
  <c r="F79" i="31"/>
  <c r="E79" i="31"/>
  <c r="G78" i="31"/>
  <c r="F78" i="31"/>
  <c r="E78" i="31"/>
  <c r="G77" i="31"/>
  <c r="F77" i="31"/>
  <c r="E77" i="31"/>
  <c r="G76" i="31"/>
  <c r="F76" i="31"/>
  <c r="E76" i="31"/>
  <c r="G75" i="31"/>
  <c r="F75" i="31"/>
  <c r="E75" i="31"/>
  <c r="G74" i="31"/>
  <c r="F74" i="31"/>
  <c r="E74" i="31"/>
  <c r="G73" i="31"/>
  <c r="F73" i="31"/>
  <c r="E73" i="31"/>
  <c r="G72" i="31"/>
  <c r="F72" i="31"/>
  <c r="E72" i="31"/>
  <c r="G71" i="31"/>
  <c r="F71" i="31"/>
  <c r="E71" i="31"/>
  <c r="G70" i="31"/>
  <c r="F70" i="31"/>
  <c r="E70" i="31"/>
  <c r="G69" i="31"/>
  <c r="F69" i="31"/>
  <c r="E69" i="31"/>
  <c r="G68" i="31"/>
  <c r="F68" i="31"/>
  <c r="E68" i="31"/>
  <c r="G67" i="31"/>
  <c r="F67" i="31"/>
  <c r="E67" i="31"/>
  <c r="G66" i="31"/>
  <c r="F66" i="31"/>
  <c r="E66" i="31"/>
  <c r="G65" i="31"/>
  <c r="F65" i="31"/>
  <c r="E65" i="31"/>
  <c r="G64" i="31"/>
  <c r="F64" i="31"/>
  <c r="E64" i="31"/>
  <c r="G63" i="31"/>
  <c r="F63" i="31"/>
  <c r="E63" i="31"/>
  <c r="G62" i="31"/>
  <c r="F62" i="31"/>
  <c r="E62" i="31"/>
  <c r="G61" i="31"/>
  <c r="F61" i="31"/>
  <c r="E61" i="31"/>
  <c r="G60" i="31"/>
  <c r="F60" i="31"/>
  <c r="E60" i="31"/>
  <c r="G59" i="31"/>
  <c r="F59" i="31"/>
  <c r="E59" i="31"/>
  <c r="G58" i="31"/>
  <c r="F58" i="31"/>
  <c r="E58" i="31"/>
  <c r="G57" i="31"/>
  <c r="F57" i="31"/>
  <c r="E57" i="31"/>
  <c r="G56" i="31"/>
  <c r="F56" i="31"/>
  <c r="E56" i="31"/>
  <c r="G55" i="31"/>
  <c r="F55" i="31"/>
  <c r="E55" i="31"/>
  <c r="G54" i="31"/>
  <c r="F54" i="31"/>
  <c r="E54" i="31"/>
  <c r="G53" i="31"/>
  <c r="F53" i="31"/>
  <c r="E53" i="31"/>
  <c r="G52" i="31"/>
  <c r="F52" i="31"/>
  <c r="E52" i="31"/>
  <c r="G51" i="31"/>
  <c r="F51" i="31"/>
  <c r="E51" i="31"/>
  <c r="G50" i="31"/>
  <c r="F50" i="31"/>
  <c r="E50" i="31"/>
  <c r="G49" i="31"/>
  <c r="F49" i="31"/>
  <c r="E49" i="31"/>
  <c r="D168" i="31"/>
  <c r="D166" i="31"/>
  <c r="D165" i="31"/>
  <c r="D163" i="31"/>
  <c r="D162" i="31"/>
  <c r="D157" i="31"/>
  <c r="D156" i="31"/>
  <c r="D145" i="31"/>
  <c r="D144" i="31"/>
  <c r="D143" i="31"/>
  <c r="D142" i="31"/>
  <c r="D141" i="31"/>
  <c r="D140" i="31"/>
  <c r="D139" i="31"/>
  <c r="D138" i="31"/>
  <c r="D137" i="31"/>
  <c r="D136" i="31"/>
  <c r="D135" i="31"/>
  <c r="D134" i="31"/>
  <c r="D133" i="31"/>
  <c r="D132" i="31"/>
  <c r="D131" i="31"/>
  <c r="D130" i="31"/>
  <c r="D129" i="31"/>
  <c r="D128" i="31"/>
  <c r="D127" i="31"/>
  <c r="D126" i="31"/>
  <c r="D125" i="31"/>
  <c r="D124" i="31"/>
  <c r="D123" i="31"/>
  <c r="D122" i="31"/>
  <c r="D121" i="31"/>
  <c r="D120" i="31"/>
  <c r="D119" i="31"/>
  <c r="D118" i="31"/>
  <c r="D117" i="31"/>
  <c r="D116" i="31"/>
  <c r="D115" i="31"/>
  <c r="D114" i="31"/>
  <c r="D113" i="31"/>
  <c r="D112" i="31"/>
  <c r="D111" i="31"/>
  <c r="D110" i="31"/>
  <c r="D109" i="31"/>
  <c r="D108" i="31"/>
  <c r="D107" i="31"/>
  <c r="D106" i="31"/>
  <c r="D105" i="31"/>
  <c r="D104" i="31"/>
  <c r="D103" i="31"/>
  <c r="D102" i="31"/>
  <c r="D101" i="31"/>
  <c r="D93" i="31"/>
  <c r="D92" i="31"/>
  <c r="D91" i="31"/>
  <c r="D90" i="31"/>
  <c r="D89" i="31"/>
  <c r="D88" i="31"/>
  <c r="D87" i="31"/>
  <c r="D86" i="31"/>
  <c r="D85" i="31"/>
  <c r="D84" i="31"/>
  <c r="D83" i="31"/>
  <c r="D82" i="31"/>
  <c r="D81" i="31"/>
  <c r="D80" i="31"/>
  <c r="D79" i="31"/>
  <c r="D78" i="31"/>
  <c r="D77" i="31"/>
  <c r="D76" i="31"/>
  <c r="D75" i="31"/>
  <c r="D74" i="31"/>
  <c r="D73" i="31"/>
  <c r="D72" i="31"/>
  <c r="D71" i="31"/>
  <c r="D70" i="31"/>
  <c r="D69" i="31"/>
  <c r="D68" i="31"/>
  <c r="D67" i="31"/>
  <c r="D66" i="31"/>
  <c r="D65" i="31"/>
  <c r="D64" i="31"/>
  <c r="D63" i="31"/>
  <c r="D62" i="31"/>
  <c r="D61" i="31"/>
  <c r="D60" i="31"/>
  <c r="D59" i="31"/>
  <c r="D58" i="31"/>
  <c r="D57" i="31"/>
  <c r="D56" i="31"/>
  <c r="D55" i="31"/>
  <c r="D54" i="31"/>
  <c r="D53" i="31"/>
  <c r="D52" i="31"/>
  <c r="D51" i="31"/>
  <c r="D50" i="31"/>
  <c r="D49" i="31"/>
  <c r="O43" i="28"/>
  <c r="N43" i="28"/>
  <c r="M43" i="28"/>
  <c r="R43" i="22"/>
  <c r="Q43" i="22"/>
  <c r="P43" i="22"/>
  <c r="O43" i="22"/>
  <c r="N43" i="22"/>
  <c r="M43" i="22"/>
  <c r="U43" i="3"/>
  <c r="T43" i="3"/>
  <c r="S43" i="3"/>
  <c r="Q43" i="3"/>
  <c r="P43" i="3"/>
  <c r="O43" i="3"/>
  <c r="N43" i="3"/>
  <c r="M43" i="3"/>
  <c r="H108" i="31" l="1"/>
  <c r="H116" i="31"/>
  <c r="H124" i="31"/>
  <c r="H132" i="31"/>
  <c r="H49" i="31"/>
  <c r="H114" i="31"/>
  <c r="H122" i="31"/>
  <c r="H138" i="31"/>
  <c r="H140" i="31"/>
  <c r="H106" i="31"/>
  <c r="H130" i="31"/>
  <c r="H50" i="31"/>
  <c r="H53" i="31"/>
  <c r="H58" i="31"/>
  <c r="H61" i="31"/>
  <c r="H66" i="31"/>
  <c r="H69" i="31"/>
  <c r="H74" i="31"/>
  <c r="H77" i="31"/>
  <c r="H82" i="31"/>
  <c r="H85" i="31"/>
  <c r="H90" i="31"/>
  <c r="H93" i="31"/>
  <c r="H105" i="31"/>
  <c r="H113" i="31"/>
  <c r="H121" i="31"/>
  <c r="H129" i="31"/>
  <c r="H137" i="31"/>
  <c r="H145" i="31"/>
  <c r="H51" i="31"/>
  <c r="H56" i="31"/>
  <c r="H59" i="31"/>
  <c r="H64" i="31"/>
  <c r="H67" i="31"/>
  <c r="H72" i="31"/>
  <c r="H75" i="31"/>
  <c r="H80" i="31"/>
  <c r="H83" i="31"/>
  <c r="H88" i="31"/>
  <c r="H91" i="31"/>
  <c r="H103" i="31"/>
  <c r="H111" i="31"/>
  <c r="H119" i="31"/>
  <c r="H127" i="31"/>
  <c r="H135" i="31"/>
  <c r="H143" i="31"/>
  <c r="H54" i="31"/>
  <c r="H57" i="31"/>
  <c r="H62" i="31"/>
  <c r="H65" i="31"/>
  <c r="H70" i="31"/>
  <c r="H73" i="31"/>
  <c r="H78" i="31"/>
  <c r="H81" i="31"/>
  <c r="H86" i="31"/>
  <c r="H89" i="31"/>
  <c r="H101" i="31"/>
  <c r="H109" i="31"/>
  <c r="H117" i="31"/>
  <c r="H125" i="31"/>
  <c r="H133" i="31"/>
  <c r="H141" i="31"/>
  <c r="H104" i="31"/>
  <c r="H112" i="31"/>
  <c r="H120" i="31"/>
  <c r="H128" i="31"/>
  <c r="H136" i="31"/>
  <c r="H144" i="31"/>
  <c r="H52" i="31"/>
  <c r="H55" i="31"/>
  <c r="H60" i="31"/>
  <c r="H63" i="31"/>
  <c r="H68" i="31"/>
  <c r="H71" i="31"/>
  <c r="H76" i="31"/>
  <c r="H79" i="31"/>
  <c r="H84" i="31"/>
  <c r="H87" i="31"/>
  <c r="H92" i="31"/>
  <c r="H107" i="31"/>
  <c r="H115" i="31"/>
  <c r="H123" i="31"/>
  <c r="H131" i="31"/>
  <c r="H139" i="31"/>
  <c r="H102" i="31"/>
  <c r="H110" i="31"/>
  <c r="H118" i="31"/>
  <c r="H126" i="31"/>
  <c r="H134" i="31"/>
  <c r="H142" i="31"/>
  <c r="D168" i="28"/>
  <c r="D167" i="28"/>
  <c r="D166" i="28"/>
  <c r="D165" i="28"/>
  <c r="D164" i="28"/>
  <c r="D163" i="28"/>
  <c r="D162" i="28"/>
  <c r="D161" i="28"/>
  <c r="D160" i="28"/>
  <c r="D159" i="28"/>
  <c r="D158" i="28"/>
  <c r="D157" i="28"/>
  <c r="D156" i="28"/>
  <c r="D155" i="28"/>
  <c r="D154" i="28"/>
  <c r="D148" i="28"/>
  <c r="F148" i="31" s="1"/>
  <c r="D147" i="28"/>
  <c r="F147" i="31" s="1"/>
  <c r="D146" i="28"/>
  <c r="F146" i="31" s="1"/>
  <c r="D96" i="28"/>
  <c r="F96" i="31" s="1"/>
  <c r="D95" i="28"/>
  <c r="F95" i="31" s="1"/>
  <c r="D94" i="28"/>
  <c r="F94" i="31" s="1"/>
  <c r="L42" i="28"/>
  <c r="K42" i="28"/>
  <c r="J42" i="28"/>
  <c r="L41" i="28"/>
  <c r="K41" i="28"/>
  <c r="J41" i="28"/>
  <c r="L40" i="28"/>
  <c r="K40" i="28"/>
  <c r="J40" i="28"/>
  <c r="L39" i="28"/>
  <c r="K39" i="28"/>
  <c r="J39" i="28"/>
  <c r="L38" i="28"/>
  <c r="K38" i="28"/>
  <c r="J38" i="28"/>
  <c r="L37" i="28"/>
  <c r="K37" i="28"/>
  <c r="J37" i="28"/>
  <c r="L36" i="28"/>
  <c r="K36" i="28"/>
  <c r="J36" i="28"/>
  <c r="L35" i="28"/>
  <c r="K35" i="28"/>
  <c r="J35" i="28"/>
  <c r="L34" i="28"/>
  <c r="K34" i="28"/>
  <c r="J34" i="28"/>
  <c r="L33" i="28"/>
  <c r="K33" i="28"/>
  <c r="J33" i="28"/>
  <c r="L32" i="28"/>
  <c r="K32" i="28"/>
  <c r="J32" i="28"/>
  <c r="L31" i="28"/>
  <c r="K31" i="28"/>
  <c r="J31" i="28"/>
  <c r="L30" i="28"/>
  <c r="K30" i="28"/>
  <c r="J30" i="28"/>
  <c r="L29" i="28"/>
  <c r="K29" i="28"/>
  <c r="J29" i="28"/>
  <c r="L28" i="28"/>
  <c r="K28" i="28"/>
  <c r="J28" i="28"/>
  <c r="L27" i="28"/>
  <c r="K27" i="28"/>
  <c r="J27" i="28"/>
  <c r="L26" i="28"/>
  <c r="K26" i="28"/>
  <c r="J26" i="28"/>
  <c r="L25" i="28"/>
  <c r="K25" i="28"/>
  <c r="J25" i="28"/>
  <c r="L24" i="28"/>
  <c r="K24" i="28"/>
  <c r="J24" i="28"/>
  <c r="L23" i="28"/>
  <c r="K23" i="28"/>
  <c r="J23" i="28"/>
  <c r="L22" i="28"/>
  <c r="K22" i="28"/>
  <c r="J22" i="28"/>
  <c r="L21" i="28"/>
  <c r="K21" i="28"/>
  <c r="J21" i="28"/>
  <c r="L20" i="28"/>
  <c r="K20" i="28"/>
  <c r="J20" i="28"/>
  <c r="L19" i="28"/>
  <c r="K19" i="28"/>
  <c r="J19" i="28"/>
  <c r="L18" i="28"/>
  <c r="K18" i="28"/>
  <c r="J18" i="28"/>
  <c r="L16" i="28"/>
  <c r="K16" i="28"/>
  <c r="J16" i="28"/>
  <c r="L15" i="28"/>
  <c r="K15" i="28"/>
  <c r="J15" i="28"/>
  <c r="L14" i="28"/>
  <c r="K14" i="28"/>
  <c r="J14" i="28"/>
  <c r="L13" i="28"/>
  <c r="K13" i="28"/>
  <c r="J13" i="28"/>
  <c r="L12" i="28"/>
  <c r="K12" i="28"/>
  <c r="J12" i="28"/>
  <c r="L11" i="28"/>
  <c r="K11" i="28"/>
  <c r="J11" i="28"/>
  <c r="L10" i="28"/>
  <c r="K10" i="28"/>
  <c r="J10" i="28"/>
  <c r="L9" i="28"/>
  <c r="K9" i="28"/>
  <c r="J9" i="28"/>
  <c r="D168" i="29"/>
  <c r="D167" i="29"/>
  <c r="D166" i="29"/>
  <c r="D165" i="29"/>
  <c r="D164" i="29"/>
  <c r="D163" i="29"/>
  <c r="D162" i="29"/>
  <c r="D161" i="29"/>
  <c r="D160" i="29"/>
  <c r="D159" i="29"/>
  <c r="D158" i="29"/>
  <c r="D157" i="29"/>
  <c r="D156" i="29"/>
  <c r="D155" i="29"/>
  <c r="D154" i="29"/>
  <c r="D148" i="29"/>
  <c r="G148" i="31" s="1"/>
  <c r="D147" i="29"/>
  <c r="G147" i="31" s="1"/>
  <c r="D146" i="29"/>
  <c r="G146" i="31" s="1"/>
  <c r="D96" i="29"/>
  <c r="G96" i="31" s="1"/>
  <c r="D95" i="29"/>
  <c r="G95" i="31" s="1"/>
  <c r="D94" i="29"/>
  <c r="G94" i="31" s="1"/>
  <c r="L42" i="29"/>
  <c r="K42" i="29"/>
  <c r="J42" i="29"/>
  <c r="L41" i="29"/>
  <c r="K41" i="29"/>
  <c r="J41" i="29"/>
  <c r="L40" i="29"/>
  <c r="K40" i="29"/>
  <c r="J40" i="29"/>
  <c r="L39" i="29"/>
  <c r="K39" i="29"/>
  <c r="J39" i="29"/>
  <c r="L38" i="29"/>
  <c r="K38" i="29"/>
  <c r="J38" i="29"/>
  <c r="L37" i="29"/>
  <c r="K37" i="29"/>
  <c r="J37" i="29"/>
  <c r="L36" i="29"/>
  <c r="K36" i="29"/>
  <c r="J36" i="29"/>
  <c r="L35" i="29"/>
  <c r="K35" i="29"/>
  <c r="J35" i="29"/>
  <c r="L34" i="29"/>
  <c r="K34" i="29"/>
  <c r="J34" i="29"/>
  <c r="L33" i="29"/>
  <c r="K33" i="29"/>
  <c r="J33" i="29"/>
  <c r="L32" i="29"/>
  <c r="K32" i="29"/>
  <c r="J32" i="29"/>
  <c r="L31" i="29"/>
  <c r="K31" i="29"/>
  <c r="J31" i="29"/>
  <c r="L30" i="29"/>
  <c r="K30" i="29"/>
  <c r="J30" i="29"/>
  <c r="L29" i="29"/>
  <c r="K29" i="29"/>
  <c r="J29" i="29"/>
  <c r="L28" i="29"/>
  <c r="K28" i="29"/>
  <c r="J28" i="29"/>
  <c r="L27" i="29"/>
  <c r="K27" i="29"/>
  <c r="J27" i="29"/>
  <c r="L26" i="29"/>
  <c r="K26" i="29"/>
  <c r="J26" i="29"/>
  <c r="L25" i="29"/>
  <c r="K25" i="29"/>
  <c r="J25" i="29"/>
  <c r="L24" i="29"/>
  <c r="K24" i="29"/>
  <c r="J24" i="29"/>
  <c r="L23" i="29"/>
  <c r="K23" i="29"/>
  <c r="J23" i="29"/>
  <c r="L22" i="29"/>
  <c r="K22" i="29"/>
  <c r="J22" i="29"/>
  <c r="L21" i="29"/>
  <c r="K21" i="29"/>
  <c r="J21" i="29"/>
  <c r="L20" i="29"/>
  <c r="K20" i="29"/>
  <c r="J20" i="29"/>
  <c r="L19" i="29"/>
  <c r="K19" i="29"/>
  <c r="J19" i="29"/>
  <c r="L18" i="29"/>
  <c r="K18" i="29"/>
  <c r="J18" i="29"/>
  <c r="L16" i="29"/>
  <c r="K16" i="29"/>
  <c r="J16" i="29"/>
  <c r="L15" i="29"/>
  <c r="K15" i="29"/>
  <c r="J15" i="29"/>
  <c r="L14" i="29"/>
  <c r="K14" i="29"/>
  <c r="J14" i="29"/>
  <c r="L13" i="29"/>
  <c r="K13" i="29"/>
  <c r="J13" i="29"/>
  <c r="L12" i="29"/>
  <c r="K12" i="29"/>
  <c r="J12" i="29"/>
  <c r="L11" i="29"/>
  <c r="K11" i="29"/>
  <c r="J11" i="29"/>
  <c r="L10" i="29"/>
  <c r="K10" i="29"/>
  <c r="J10" i="29"/>
  <c r="L9" i="29"/>
  <c r="K9" i="29"/>
  <c r="J9" i="29"/>
  <c r="E168" i="31"/>
  <c r="E167" i="31"/>
  <c r="E166" i="31"/>
  <c r="E165" i="31"/>
  <c r="E164" i="31"/>
  <c r="E163" i="31"/>
  <c r="E162" i="31"/>
  <c r="E161" i="31"/>
  <c r="E160" i="31"/>
  <c r="E159" i="31"/>
  <c r="E158" i="31"/>
  <c r="E157" i="31"/>
  <c r="E156" i="31"/>
  <c r="D155" i="22"/>
  <c r="E155" i="31" s="1"/>
  <c r="D154" i="22"/>
  <c r="E148" i="31"/>
  <c r="E147" i="31"/>
  <c r="E146" i="31"/>
  <c r="D96" i="22"/>
  <c r="E96" i="31" s="1"/>
  <c r="D95" i="22"/>
  <c r="E95" i="31" s="1"/>
  <c r="D94" i="22"/>
  <c r="E94" i="31" s="1"/>
  <c r="L27" i="22"/>
  <c r="K27" i="22"/>
  <c r="J27" i="22"/>
  <c r="L26" i="22"/>
  <c r="K26" i="22"/>
  <c r="J26" i="22"/>
  <c r="L25" i="22"/>
  <c r="K25" i="22"/>
  <c r="J25" i="22"/>
  <c r="L24" i="22"/>
  <c r="K24" i="22"/>
  <c r="J24" i="22"/>
  <c r="L23" i="22"/>
  <c r="K23" i="22"/>
  <c r="J23" i="22"/>
  <c r="L22" i="22"/>
  <c r="K22" i="22"/>
  <c r="J22" i="22"/>
  <c r="L21" i="22"/>
  <c r="K21" i="22"/>
  <c r="J21" i="22"/>
  <c r="L20" i="22"/>
  <c r="K20" i="22"/>
  <c r="J20" i="22"/>
  <c r="L19" i="22"/>
  <c r="K19" i="22"/>
  <c r="J19" i="22"/>
  <c r="L18" i="22"/>
  <c r="K18" i="22"/>
  <c r="J18" i="22"/>
  <c r="L16" i="22"/>
  <c r="K16" i="22"/>
  <c r="J16" i="22"/>
  <c r="L15" i="22"/>
  <c r="K15" i="22"/>
  <c r="J15" i="22"/>
  <c r="L14" i="22"/>
  <c r="K14" i="22"/>
  <c r="J14" i="22"/>
  <c r="L13" i="22"/>
  <c r="K13" i="22"/>
  <c r="J13" i="22"/>
  <c r="L12" i="22"/>
  <c r="K12" i="22"/>
  <c r="J12" i="22"/>
  <c r="L11" i="22"/>
  <c r="K11" i="22"/>
  <c r="J11" i="22"/>
  <c r="L10" i="22"/>
  <c r="K10" i="22"/>
  <c r="J10" i="22"/>
  <c r="L9" i="22"/>
  <c r="K9" i="22"/>
  <c r="J9" i="22"/>
  <c r="D96" i="3"/>
  <c r="D96" i="31" s="1"/>
  <c r="D95" i="3"/>
  <c r="D95" i="31" s="1"/>
  <c r="D94" i="3"/>
  <c r="D94" i="31" s="1"/>
  <c r="D148" i="3"/>
  <c r="D148" i="31" s="1"/>
  <c r="D147" i="3"/>
  <c r="D147" i="31" s="1"/>
  <c r="D146" i="3"/>
  <c r="D146" i="31" s="1"/>
  <c r="I43" i="3"/>
  <c r="H43" i="3"/>
  <c r="G43" i="3"/>
  <c r="F43" i="3"/>
  <c r="E43" i="3"/>
  <c r="D43" i="3"/>
  <c r="D158" i="31"/>
  <c r="D159" i="31"/>
  <c r="D160" i="31"/>
  <c r="D161" i="31"/>
  <c r="D164" i="31"/>
  <c r="D167" i="31"/>
  <c r="D155" i="31"/>
  <c r="D154" i="31"/>
  <c r="H147" i="31" l="1"/>
  <c r="H146" i="31"/>
  <c r="H96" i="31"/>
  <c r="D169" i="28"/>
  <c r="D169" i="22"/>
  <c r="E169" i="31" s="1"/>
  <c r="E154" i="31"/>
  <c r="D169" i="29"/>
  <c r="H148" i="31"/>
  <c r="H94" i="31"/>
  <c r="H95" i="31"/>
  <c r="D169" i="3"/>
  <c r="D169" i="31" s="1"/>
  <c r="J38" i="31"/>
  <c r="K38" i="31"/>
  <c r="L38" i="31"/>
  <c r="J39" i="31"/>
  <c r="K39" i="31"/>
  <c r="L39" i="31"/>
  <c r="J40" i="31"/>
  <c r="K40" i="31"/>
  <c r="L40" i="31"/>
  <c r="J41" i="31"/>
  <c r="K41" i="31"/>
  <c r="J42" i="31"/>
  <c r="K42" i="31"/>
  <c r="L42" i="31"/>
  <c r="J39" i="3"/>
  <c r="K39" i="3"/>
  <c r="L39" i="3"/>
  <c r="A39" i="3"/>
  <c r="J40" i="3"/>
  <c r="K40" i="3"/>
  <c r="L40" i="3"/>
  <c r="J41" i="3"/>
  <c r="K41" i="3"/>
  <c r="L41" i="3"/>
  <c r="J42" i="3"/>
  <c r="K42" i="3"/>
  <c r="L42" i="3"/>
  <c r="A40" i="3"/>
  <c r="A41" i="3"/>
  <c r="A42" i="3"/>
  <c r="J38" i="3"/>
  <c r="K38" i="3"/>
  <c r="L38" i="3"/>
  <c r="A38" i="3"/>
  <c r="J36" i="31"/>
  <c r="K36" i="31"/>
  <c r="L36" i="31"/>
  <c r="J25" i="31"/>
  <c r="K25" i="31"/>
  <c r="L25" i="31"/>
  <c r="J26" i="31"/>
  <c r="K26" i="31"/>
  <c r="L26" i="31"/>
  <c r="J27" i="31"/>
  <c r="K27" i="31"/>
  <c r="L27" i="31"/>
  <c r="J28" i="31"/>
  <c r="K28" i="31"/>
  <c r="L28" i="31"/>
  <c r="J29" i="31"/>
  <c r="K29" i="31"/>
  <c r="L29" i="31"/>
  <c r="J30" i="31"/>
  <c r="K30" i="31"/>
  <c r="L30" i="31"/>
  <c r="J36" i="3"/>
  <c r="K36" i="3"/>
  <c r="L36" i="3"/>
  <c r="A9" i="3"/>
  <c r="J9" i="3"/>
  <c r="K9" i="3"/>
  <c r="L9" i="3"/>
  <c r="A10" i="3"/>
  <c r="J10" i="3"/>
  <c r="K10" i="3"/>
  <c r="L10" i="3"/>
  <c r="A11" i="3"/>
  <c r="J11" i="3"/>
  <c r="K11" i="3"/>
  <c r="L11" i="3"/>
  <c r="A12" i="3"/>
  <c r="J12" i="3"/>
  <c r="K12" i="3"/>
  <c r="L12" i="3"/>
  <c r="A13" i="3"/>
  <c r="J13" i="3"/>
  <c r="K13" i="3"/>
  <c r="L13" i="3"/>
  <c r="A14" i="3"/>
  <c r="J14" i="3"/>
  <c r="K14" i="3"/>
  <c r="L14" i="3"/>
  <c r="A15" i="3"/>
  <c r="J15" i="3"/>
  <c r="K15" i="3"/>
  <c r="L15" i="3"/>
  <c r="A16" i="3"/>
  <c r="J16" i="3"/>
  <c r="K16" i="3"/>
  <c r="L16" i="3"/>
  <c r="A18" i="3"/>
  <c r="J18" i="3"/>
  <c r="K18" i="3"/>
  <c r="L18" i="3"/>
  <c r="A19" i="3"/>
  <c r="J19" i="3"/>
  <c r="K19" i="3"/>
  <c r="L19" i="3"/>
  <c r="A20" i="3"/>
  <c r="J20" i="3"/>
  <c r="K20" i="3"/>
  <c r="L20" i="3"/>
  <c r="A21" i="3"/>
  <c r="J21" i="3"/>
  <c r="K21" i="3"/>
  <c r="L21" i="3"/>
  <c r="A22" i="3"/>
  <c r="J22" i="3"/>
  <c r="K22" i="3"/>
  <c r="L22" i="3"/>
  <c r="A23" i="3"/>
  <c r="J23" i="3"/>
  <c r="K23" i="3"/>
  <c r="L23" i="3"/>
  <c r="A24" i="3"/>
  <c r="J24" i="3"/>
  <c r="K24" i="3"/>
  <c r="L24" i="3"/>
  <c r="A25" i="3"/>
  <c r="J25" i="3"/>
  <c r="K25" i="3"/>
  <c r="L25" i="3"/>
  <c r="A26" i="3"/>
  <c r="J26" i="3"/>
  <c r="K26" i="3"/>
  <c r="L26" i="3"/>
  <c r="A27" i="3"/>
  <c r="J27" i="3"/>
  <c r="K27" i="3"/>
  <c r="L27" i="3"/>
  <c r="A28" i="3"/>
  <c r="J28" i="3"/>
  <c r="K28" i="3"/>
  <c r="L28" i="3"/>
  <c r="A29" i="3"/>
  <c r="A30" i="3"/>
  <c r="J30" i="3"/>
  <c r="K30" i="3"/>
  <c r="L30" i="3"/>
  <c r="A31" i="3"/>
  <c r="J31" i="3"/>
  <c r="K31" i="3"/>
  <c r="L31" i="3"/>
  <c r="A32" i="3"/>
  <c r="A33" i="3"/>
  <c r="J33" i="3"/>
  <c r="K33" i="3"/>
  <c r="L33" i="3"/>
  <c r="A34" i="3"/>
  <c r="J34" i="3"/>
  <c r="K34" i="3"/>
  <c r="L34" i="3"/>
  <c r="A35" i="3"/>
  <c r="J35" i="3"/>
  <c r="K35" i="3"/>
  <c r="L35" i="3"/>
  <c r="A36" i="3"/>
  <c r="J37" i="3"/>
  <c r="K37" i="3"/>
  <c r="L37" i="3"/>
  <c r="A37" i="3"/>
  <c r="J37" i="31" l="1"/>
  <c r="L37" i="31"/>
  <c r="J10" i="31" l="1"/>
  <c r="K10" i="31"/>
  <c r="L10" i="31"/>
  <c r="J11" i="31"/>
  <c r="K11" i="31"/>
  <c r="L11" i="31"/>
  <c r="J12" i="31"/>
  <c r="K12" i="31"/>
  <c r="L12" i="31"/>
  <c r="J13" i="31"/>
  <c r="K13" i="31"/>
  <c r="L13" i="31"/>
  <c r="J14" i="31"/>
  <c r="K14" i="31"/>
  <c r="L14" i="31"/>
  <c r="J15" i="31"/>
  <c r="K15" i="31"/>
  <c r="L15" i="31"/>
  <c r="J16" i="31"/>
  <c r="K16" i="31"/>
  <c r="L16" i="31"/>
  <c r="J18" i="31"/>
  <c r="K18" i="31"/>
  <c r="L18" i="31"/>
  <c r="J19" i="31"/>
  <c r="K19" i="31"/>
  <c r="L19" i="31"/>
  <c r="J20" i="31"/>
  <c r="K20" i="31"/>
  <c r="L20" i="31"/>
  <c r="J21" i="31"/>
  <c r="K21" i="31"/>
  <c r="L21" i="31"/>
  <c r="J22" i="31"/>
  <c r="K22" i="31"/>
  <c r="L22" i="31"/>
  <c r="J23" i="31"/>
  <c r="K23" i="31"/>
  <c r="L23" i="31"/>
  <c r="J24" i="31"/>
  <c r="K24" i="31"/>
  <c r="L24" i="31"/>
  <c r="J31" i="31"/>
  <c r="K31" i="31"/>
  <c r="L31" i="31"/>
  <c r="J32" i="31"/>
  <c r="K32" i="31"/>
  <c r="L32" i="31"/>
  <c r="J33" i="31"/>
  <c r="K33" i="31"/>
  <c r="L33" i="31"/>
  <c r="J34" i="31"/>
  <c r="K34" i="31"/>
  <c r="L34" i="31"/>
  <c r="J35" i="31"/>
  <c r="K35" i="31"/>
  <c r="L35" i="31"/>
  <c r="K37" i="31"/>
  <c r="L9" i="31"/>
  <c r="K9" i="31"/>
  <c r="J9" i="31"/>
  <c r="A20" i="11" l="1"/>
  <c r="I10" i="48" l="1"/>
  <c r="H10" i="48"/>
  <c r="G10" i="48"/>
  <c r="F10" i="48"/>
  <c r="A10" i="48"/>
  <c r="A9" i="48"/>
  <c r="A8" i="48"/>
  <c r="A7" i="48"/>
  <c r="A22" i="45"/>
  <c r="A21" i="45"/>
  <c r="A17" i="43"/>
  <c r="A22" i="43"/>
  <c r="A74" i="39"/>
  <c r="A73" i="39"/>
  <c r="A72" i="39"/>
  <c r="A71" i="39"/>
  <c r="A70" i="39"/>
  <c r="A69" i="39"/>
  <c r="A68" i="39"/>
  <c r="A67" i="39"/>
  <c r="A66" i="39"/>
  <c r="A18" i="43" l="1"/>
  <c r="A19" i="43"/>
  <c r="A15" i="43"/>
  <c r="A16" i="43"/>
  <c r="A15" i="45"/>
  <c r="A16" i="45"/>
  <c r="A17" i="45"/>
  <c r="A18" i="45"/>
  <c r="A19" i="45"/>
  <c r="A20" i="45"/>
  <c r="A20" i="43"/>
  <c r="A21" i="43"/>
  <c r="I20" i="10" l="1"/>
  <c r="H20" i="10"/>
  <c r="G20" i="10"/>
  <c r="F20" i="10"/>
  <c r="H1" i="27" l="1"/>
  <c r="E2" i="17"/>
  <c r="E1" i="17"/>
  <c r="E1" i="19"/>
  <c r="E2" i="10"/>
  <c r="E1" i="16"/>
  <c r="A63" i="19" l="1"/>
  <c r="A55" i="19"/>
  <c r="A47" i="19"/>
  <c r="A39" i="19"/>
  <c r="A31" i="19"/>
  <c r="A23" i="19"/>
  <c r="A15" i="19"/>
  <c r="A7" i="19"/>
  <c r="A35" i="19"/>
  <c r="A27" i="19"/>
  <c r="A11" i="19"/>
  <c r="A62" i="19"/>
  <c r="A54" i="19"/>
  <c r="A46" i="19"/>
  <c r="A38" i="19"/>
  <c r="A30" i="19"/>
  <c r="A22" i="19"/>
  <c r="A14" i="19"/>
  <c r="A43" i="19"/>
  <c r="A61" i="19"/>
  <c r="A53" i="19"/>
  <c r="A45" i="19"/>
  <c r="A37" i="19"/>
  <c r="A29" i="19"/>
  <c r="A21" i="19"/>
  <c r="A13" i="19"/>
  <c r="A51" i="19"/>
  <c r="A19" i="19"/>
  <c r="A60" i="19"/>
  <c r="A52" i="19"/>
  <c r="A44" i="19"/>
  <c r="A36" i="19"/>
  <c r="A28" i="19"/>
  <c r="A20" i="19"/>
  <c r="A12" i="19"/>
  <c r="A59" i="19"/>
  <c r="A58" i="19"/>
  <c r="A50" i="19"/>
  <c r="A42" i="19"/>
  <c r="A34" i="19"/>
  <c r="A26" i="19"/>
  <c r="A18" i="19"/>
  <c r="A10" i="19"/>
  <c r="A48" i="19"/>
  <c r="A40" i="19"/>
  <c r="A32" i="19"/>
  <c r="A24" i="19"/>
  <c r="A16" i="19"/>
  <c r="A8" i="19"/>
  <c r="A57" i="19"/>
  <c r="A49" i="19"/>
  <c r="A41" i="19"/>
  <c r="A33" i="19"/>
  <c r="A25" i="19"/>
  <c r="A17" i="19"/>
  <c r="A9" i="19"/>
  <c r="A56" i="19"/>
  <c r="A66" i="27"/>
  <c r="A61" i="27"/>
  <c r="A59" i="27"/>
  <c r="A55" i="27"/>
  <c r="A43" i="27"/>
  <c r="A60" i="27"/>
  <c r="A52" i="27"/>
  <c r="A38" i="27"/>
  <c r="A21" i="27"/>
  <c r="A14" i="27"/>
  <c r="A53" i="27"/>
  <c r="A45" i="27"/>
  <c r="A39" i="27"/>
  <c r="A64" i="27"/>
  <c r="A57" i="27"/>
  <c r="A47" i="27"/>
  <c r="A37" i="27"/>
  <c r="A28" i="27"/>
  <c r="A26" i="27"/>
  <c r="A18" i="27"/>
  <c r="A13" i="27"/>
  <c r="A49" i="27"/>
  <c r="A22" i="27"/>
  <c r="A15" i="27"/>
  <c r="A16" i="27"/>
  <c r="A24" i="27"/>
  <c r="A62" i="27"/>
  <c r="A54" i="27"/>
  <c r="A36" i="27"/>
  <c r="A35" i="27"/>
  <c r="A27" i="27"/>
  <c r="A25" i="27"/>
  <c r="A23" i="27"/>
  <c r="A17" i="27"/>
  <c r="A11" i="27"/>
  <c r="A63" i="27"/>
  <c r="A19" i="27"/>
  <c r="A12" i="27"/>
  <c r="A65" i="27"/>
  <c r="A56" i="27"/>
  <c r="A48" i="27"/>
  <c r="A44" i="27"/>
  <c r="A42" i="27"/>
  <c r="A34" i="27"/>
  <c r="A33" i="27"/>
  <c r="A32" i="27"/>
  <c r="A31" i="27"/>
  <c r="A10" i="27"/>
  <c r="A50" i="27"/>
  <c r="A29" i="27"/>
  <c r="A51" i="27"/>
  <c r="A41" i="27"/>
  <c r="A30" i="27"/>
  <c r="A20" i="27"/>
  <c r="A58" i="27"/>
  <c r="A46" i="27"/>
  <c r="A40" i="27"/>
  <c r="A62" i="16"/>
  <c r="A38" i="16"/>
  <c r="A22" i="16"/>
  <c r="A13" i="16"/>
  <c r="A61" i="16"/>
  <c r="A53" i="16"/>
  <c r="A29" i="16"/>
  <c r="A60" i="16"/>
  <c r="A52" i="16"/>
  <c r="A44" i="16"/>
  <c r="A36" i="16"/>
  <c r="A28" i="16"/>
  <c r="A20" i="16"/>
  <c r="A12" i="16"/>
  <c r="A59" i="16"/>
  <c r="A51" i="16"/>
  <c r="A43" i="16"/>
  <c r="A27" i="16"/>
  <c r="A19" i="16"/>
  <c r="A11" i="16"/>
  <c r="A54" i="16"/>
  <c r="A21" i="16"/>
  <c r="A35" i="16"/>
  <c r="A30" i="16"/>
  <c r="A45" i="16"/>
  <c r="A58" i="16"/>
  <c r="A50" i="16"/>
  <c r="A42" i="16"/>
  <c r="A34" i="16"/>
  <c r="A26" i="16"/>
  <c r="A18" i="16"/>
  <c r="A10" i="16"/>
  <c r="A57" i="16"/>
  <c r="A49" i="16"/>
  <c r="A41" i="16"/>
  <c r="A33" i="16"/>
  <c r="A25" i="16"/>
  <c r="A17" i="16"/>
  <c r="A9" i="16"/>
  <c r="A46" i="16"/>
  <c r="A64" i="16"/>
  <c r="A56" i="16"/>
  <c r="A48" i="16"/>
  <c r="A40" i="16"/>
  <c r="A32" i="16"/>
  <c r="A24" i="16"/>
  <c r="A16" i="16"/>
  <c r="A8" i="16"/>
  <c r="A63" i="16"/>
  <c r="A55" i="16"/>
  <c r="A47" i="16"/>
  <c r="A39" i="16"/>
  <c r="A31" i="16"/>
  <c r="A23" i="16"/>
  <c r="A15" i="16"/>
  <c r="A14" i="16"/>
  <c r="A37" i="16"/>
  <c r="A20" i="10"/>
  <c r="A19" i="10"/>
  <c r="A7" i="10"/>
  <c r="A18" i="10"/>
  <c r="A21" i="11"/>
  <c r="A18" i="11"/>
  <c r="A19" i="11"/>
  <c r="A22" i="11"/>
  <c r="A17" i="11"/>
  <c r="A16" i="11"/>
  <c r="A15" i="11"/>
  <c r="R43" i="3"/>
  <c r="F41" i="31"/>
  <c r="L41"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Q59" authorId="0" shapeId="0" xr:uid="{14902D36-3578-44E0-BE2F-7FF1ABB08C2A}">
      <text>
        <r>
          <rPr>
            <b/>
            <sz val="9"/>
            <color indexed="81"/>
            <rFont val="Tahoma"/>
            <family val="2"/>
          </rPr>
          <t>PAK 6/21/2024:</t>
        </r>
        <r>
          <rPr>
            <sz val="9"/>
            <color indexed="81"/>
            <rFont val="Tahoma"/>
            <family val="2"/>
          </rPr>
          <t xml:space="preserve">
Revision to past report for 2022.
Should now be reporting Summert Street circuits a 'Full', because we now interpret that 'Full' means no additional M&amp;C - Substation SCADA capital work for the substation circuit terminal or at existing distribution reclosers to bring them on to SCADA.</t>
        </r>
      </text>
    </comment>
    <comment ref="Q60" authorId="0" shapeId="0" xr:uid="{73B25200-4816-4C3C-972D-1765387586BC}">
      <text>
        <r>
          <rPr>
            <b/>
            <sz val="9"/>
            <color indexed="81"/>
            <rFont val="Tahoma"/>
            <family val="2"/>
          </rPr>
          <t>PAK 6/21/2024:</t>
        </r>
        <r>
          <rPr>
            <sz val="9"/>
            <color indexed="81"/>
            <rFont val="Tahoma"/>
            <family val="2"/>
          </rPr>
          <t xml:space="preserve">
Revision to past report for 2022.
Should now be reporting Summert Street circuits a 'Full', because we now interpret that 'Full' means no additional M&amp;C - Substation SCADA capital work for the substation circuit terminal or at existing distribution reclosers to bring them on to SCADA.</t>
        </r>
      </text>
    </comment>
    <comment ref="Q61" authorId="0" shapeId="0" xr:uid="{1091B325-BF2E-4B9C-A6A4-ED4C66DB9AEA}">
      <text>
        <r>
          <rPr>
            <b/>
            <sz val="9"/>
            <color indexed="81"/>
            <rFont val="Tahoma"/>
            <family val="2"/>
          </rPr>
          <t>PAK 6/21/2024:</t>
        </r>
        <r>
          <rPr>
            <sz val="9"/>
            <color indexed="81"/>
            <rFont val="Tahoma"/>
            <family val="2"/>
          </rPr>
          <t xml:space="preserve">
Revision to past report for 2022.
Should now be reporting Summert Street circuits a 'Full', because we now interpret that 'Full' means no additional M&amp;C - Substation SCADA capital work for the substation circuit terminal or at existing distribution reclosers to bring them on to SCADA.</t>
        </r>
      </text>
    </comment>
    <comment ref="Q62" authorId="0" shapeId="0" xr:uid="{2698F89C-D30A-4799-9B0C-4064C6FD4A73}">
      <text>
        <r>
          <rPr>
            <b/>
            <sz val="9"/>
            <color indexed="81"/>
            <rFont val="Tahoma"/>
            <family val="2"/>
          </rPr>
          <t>PAK 6/21/2024:</t>
        </r>
        <r>
          <rPr>
            <sz val="9"/>
            <color indexed="81"/>
            <rFont val="Tahoma"/>
            <family val="2"/>
          </rPr>
          <t xml:space="preserve">
Revision to past report for 2022.
Should now be reporting Summert Street circuits a 'Full', because we now interpret that 'Full' means no additional M&amp;C - Substation SCADA capital work for the substation circuit terminal or at existing distribution reclosers to bring them on to SCADA.</t>
        </r>
      </text>
    </comment>
    <comment ref="Q63" authorId="0" shapeId="0" xr:uid="{8893CAA5-A913-4F30-8385-09D5003F5F31}">
      <text>
        <r>
          <rPr>
            <b/>
            <sz val="9"/>
            <color indexed="81"/>
            <rFont val="Tahoma"/>
            <family val="2"/>
          </rPr>
          <t>PAK 6/21/2024:</t>
        </r>
        <r>
          <rPr>
            <sz val="9"/>
            <color indexed="81"/>
            <rFont val="Tahoma"/>
            <family val="2"/>
          </rPr>
          <t xml:space="preserve">
Revision to past report for 2022.
Should now be reporting Summert Street circuits a 'Full', because we now interpret that 'Full' means no additional M&amp;C - Substation SCADA capital work for the substation circuit terminal or at existing distribution reclosers to bring them on to SCADA.</t>
        </r>
      </text>
    </comment>
    <comment ref="Q64" authorId="0" shapeId="0" xr:uid="{8A0DEEF7-108F-4FAA-B2BB-5384CF8A4ADB}">
      <text>
        <r>
          <rPr>
            <b/>
            <sz val="9"/>
            <color indexed="81"/>
            <rFont val="Tahoma"/>
            <family val="2"/>
          </rPr>
          <t>PAK 6/21/2024:</t>
        </r>
        <r>
          <rPr>
            <sz val="9"/>
            <color indexed="81"/>
            <rFont val="Tahoma"/>
            <family val="2"/>
          </rPr>
          <t xml:space="preserve">
Revision to past report for 2022.
Should now be reporting Summert Street circuits a 'Full', because we now interpret that 'Full' means no additional M&amp;C - Substation SCADA capital work for the substation circuit terminal or at existing distribution reclosers to bring them on to SCADA.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C25" authorId="0" shapeId="0" xr:uid="{700D4EE1-A9AC-4023-9A55-D49B0C9D56EC}">
      <text>
        <r>
          <rPr>
            <b/>
            <sz val="9"/>
            <color indexed="81"/>
            <rFont val="Tahoma"/>
            <charset val="1"/>
          </rPr>
          <t>Author:</t>
        </r>
        <r>
          <rPr>
            <sz val="9"/>
            <color indexed="81"/>
            <rFont val="Tahoma"/>
            <charset val="1"/>
          </rPr>
          <t xml:space="preserve">
Based on Guidehouse evaluation
</t>
        </r>
      </text>
    </comment>
    <comment ref="BK25" authorId="0" shapeId="0" xr:uid="{5CD7E5EE-892E-4768-B7B7-21722C058871}">
      <text>
        <r>
          <rPr>
            <b/>
            <sz val="9"/>
            <color indexed="81"/>
            <rFont val="Tahoma"/>
            <charset val="1"/>
          </rPr>
          <t>Author:</t>
        </r>
        <r>
          <rPr>
            <sz val="9"/>
            <color indexed="81"/>
            <rFont val="Tahoma"/>
            <charset val="1"/>
          </rPr>
          <t xml:space="preserve">
Per Guidehouse evaluation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5" authorId="0" shapeId="0" xr:uid="{C65A15CD-5251-4F55-827D-50B15CC29229}">
      <text>
        <r>
          <rPr>
            <b/>
            <sz val="9"/>
            <color indexed="81"/>
            <rFont val="Tahoma"/>
            <family val="2"/>
          </rPr>
          <t>PAK 6/21/2024:</t>
        </r>
        <r>
          <rPr>
            <sz val="9"/>
            <color indexed="81"/>
            <rFont val="Tahoma"/>
            <family val="2"/>
          </rPr>
          <t xml:space="preserve">
Revision to past report for 2022.
Should now be reporting Summert Street circuits a 'Full', because we now interpret that 'Full' means no additional M&amp;C - Substation SCADA capital work for the substation circuit terminal or at existing distribution reclosers to bring them on to SCADA.</t>
        </r>
      </text>
    </comment>
    <comment ref="D15" authorId="0" shapeId="0" xr:uid="{AD1F592D-6868-43D0-BBC2-1D485832604F}">
      <text>
        <r>
          <rPr>
            <b/>
            <sz val="9"/>
            <color indexed="81"/>
            <rFont val="Tahoma"/>
            <family val="2"/>
          </rPr>
          <t>PAK 6/21/2024:</t>
        </r>
        <r>
          <rPr>
            <sz val="9"/>
            <color indexed="81"/>
            <rFont val="Tahoma"/>
            <family val="2"/>
          </rPr>
          <t xml:space="preserve">
Revision to past report for 2022.
Should now be reporting Summert Street circuits a 'Full', because we now interpret that 'Full' means no additional M&amp;C - Substation SCADA capital work for the substation circuit terminal or at existing distribution reclosers to bring them on to SCADA.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9" authorId="0" shapeId="0" xr:uid="{8F23B25D-3EA4-42EF-AE0B-78F34EAED86A}">
      <text>
        <r>
          <rPr>
            <b/>
            <sz val="9"/>
            <color indexed="81"/>
            <rFont val="Tahoma"/>
            <family val="2"/>
          </rPr>
          <t>PAK 4/5/2024:</t>
        </r>
        <r>
          <rPr>
            <sz val="9"/>
            <color indexed="81"/>
            <rFont val="Tahoma"/>
            <family val="2"/>
          </rPr>
          <t xml:space="preserve">
Revision to past report for 2022.
Nockege project was unintentionally left out of 2022 reporting</t>
        </r>
      </text>
    </comment>
    <comment ref="D49" authorId="0" shapeId="0" xr:uid="{78E5EAC6-52F1-4DFE-8487-349C2F16D635}">
      <text>
        <r>
          <rPr>
            <b/>
            <sz val="9"/>
            <color indexed="81"/>
            <rFont val="Tahoma"/>
            <family val="2"/>
          </rPr>
          <t>PAK 4/5/2023:</t>
        </r>
        <r>
          <rPr>
            <sz val="9"/>
            <color indexed="81"/>
            <rFont val="Tahoma"/>
            <family val="2"/>
          </rPr>
          <t xml:space="preserve">
Revision to past report for 2022.
Nockege project was unintentionally left out of 2022 reporting</t>
        </r>
      </text>
    </comment>
    <comment ref="D50" authorId="0" shapeId="0" xr:uid="{9A34BC09-A183-428F-B63C-A18E614A3F96}">
      <text>
        <r>
          <rPr>
            <b/>
            <sz val="9"/>
            <color indexed="81"/>
            <rFont val="Tahoma"/>
            <family val="2"/>
          </rPr>
          <t>PAK 4/5/2023:</t>
        </r>
        <r>
          <rPr>
            <sz val="9"/>
            <color indexed="81"/>
            <rFont val="Tahoma"/>
            <family val="2"/>
          </rPr>
          <t xml:space="preserve">
Revision to past report for 2022.
Nockege project was unintentionally left out of 2022 reporting</t>
        </r>
      </text>
    </comment>
    <comment ref="D51" authorId="0" shapeId="0" xr:uid="{C3047CAB-5FDE-4E54-AA4A-F5D894F12159}">
      <text>
        <r>
          <rPr>
            <b/>
            <sz val="9"/>
            <color indexed="81"/>
            <rFont val="Tahoma"/>
            <family val="2"/>
          </rPr>
          <t>PAK 4/5/2023:</t>
        </r>
        <r>
          <rPr>
            <sz val="9"/>
            <color indexed="81"/>
            <rFont val="Tahoma"/>
            <family val="2"/>
          </rPr>
          <t xml:space="preserve">
Revision to past report for 2022.
Nockege project was unintentionally left out of 2022 reporting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O20" authorId="0" shapeId="0" xr:uid="{574BE66C-8966-4521-9267-C8CD8C68C835}">
      <text>
        <r>
          <rPr>
            <b/>
            <sz val="9"/>
            <color indexed="81"/>
            <rFont val="Tahoma"/>
            <family val="2"/>
          </rPr>
          <t>Author:</t>
        </r>
        <r>
          <rPr>
            <sz val="9"/>
            <color indexed="81"/>
            <rFont val="Tahoma"/>
            <family val="2"/>
          </rPr>
          <t xml:space="preserve">
regs Prim plus Comms  From West Townsend Est._2024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D8" authorId="0" shapeId="0" xr:uid="{00000000-0006-0000-1800-000001000000}">
      <text>
        <r>
          <rPr>
            <b/>
            <sz val="9"/>
            <color indexed="81"/>
            <rFont val="Tahoma"/>
            <family val="2"/>
          </rPr>
          <t>Author:</t>
        </r>
        <r>
          <rPr>
            <sz val="9"/>
            <color indexed="81"/>
            <rFont val="Tahoma"/>
            <family val="2"/>
          </rPr>
          <t xml:space="preserve">
Assume 1640 Hrs/yr/kW (Net Metering filing) per PV Watts, defaults for Fitchburg, MA
</t>
        </r>
      </text>
    </comment>
    <comment ref="AF8" authorId="0" shapeId="0" xr:uid="{00000000-0006-0000-1800-000002000000}">
      <text>
        <r>
          <rPr>
            <b/>
            <sz val="9"/>
            <color indexed="81"/>
            <rFont val="Tahoma"/>
            <family val="2"/>
          </rPr>
          <t>Author:</t>
        </r>
        <r>
          <rPr>
            <sz val="9"/>
            <color indexed="81"/>
            <rFont val="Tahoma"/>
            <family val="2"/>
          </rPr>
          <t xml:space="preserve">
Assume 1640 Hrs/yr/kW (Net Metering filing) per PV Watts, defaults for Fitchburg, MA
</t>
        </r>
      </text>
    </comment>
    <comment ref="AH8" authorId="0" shapeId="0" xr:uid="{00000000-0006-0000-1800-000003000000}">
      <text>
        <r>
          <rPr>
            <b/>
            <sz val="9"/>
            <color indexed="81"/>
            <rFont val="Tahoma"/>
            <family val="2"/>
          </rPr>
          <t>Author:</t>
        </r>
        <r>
          <rPr>
            <sz val="9"/>
            <color indexed="81"/>
            <rFont val="Tahoma"/>
            <family val="2"/>
          </rPr>
          <t xml:space="preserve">
Assume 1640 Hrs/yr/kW (Net Metering filing) per PV Watts, defaults for Fitchburg, MA
</t>
        </r>
      </text>
    </comment>
    <comment ref="AJ8" authorId="0" shapeId="0" xr:uid="{00000000-0006-0000-1800-000004000000}">
      <text>
        <r>
          <rPr>
            <b/>
            <sz val="9"/>
            <color indexed="81"/>
            <rFont val="Tahoma"/>
            <family val="2"/>
          </rPr>
          <t>Author:</t>
        </r>
        <r>
          <rPr>
            <sz val="9"/>
            <color indexed="81"/>
            <rFont val="Tahoma"/>
            <family val="2"/>
          </rPr>
          <t xml:space="preserve">
Assume 1640 Hrs/yr/kW (Net Metering filing) per PV Watts, defaults for Fitchburg, MA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9" authorId="0" shapeId="0" xr:uid="{E2ED3A25-AC36-47E7-B1C2-6CB529959525}">
      <text>
        <r>
          <rPr>
            <b/>
            <sz val="9"/>
            <color indexed="81"/>
            <rFont val="Tahoma"/>
            <charset val="1"/>
          </rPr>
          <t>From ESMP</t>
        </r>
        <r>
          <rPr>
            <sz val="9"/>
            <color indexed="81"/>
            <rFont val="Tahoma"/>
            <charset val="1"/>
          </rPr>
          <t xml:space="preserve">
</t>
        </r>
      </text>
    </comment>
  </commentList>
</comments>
</file>

<file path=xl/sharedStrings.xml><?xml version="1.0" encoding="utf-8"?>
<sst xmlns="http://schemas.openxmlformats.org/spreadsheetml/2006/main" count="13120" uniqueCount="541">
  <si>
    <t>TABLE 1.a</t>
  </si>
  <si>
    <t xml:space="preserve">Feeder Deployment Incremental </t>
  </si>
  <si>
    <t>Company Name</t>
  </si>
  <si>
    <t>[Enter Company Name]</t>
  </si>
  <si>
    <t>Plan Year</t>
  </si>
  <si>
    <t>This table presents the required format for the reporting of the incremental deployment of grid modernization technologies at the feeder/substation level during the plan year.</t>
  </si>
  <si>
    <t>Feeder/Substation Identification</t>
  </si>
  <si>
    <t>Distribution Automation</t>
  </si>
  <si>
    <t>Volt-Var Optimization</t>
  </si>
  <si>
    <t>Advanced Distribution Management System (ADMS)</t>
  </si>
  <si>
    <t>Communications</t>
  </si>
  <si>
    <t>Workforce Management</t>
  </si>
  <si>
    <t>Division Name</t>
  </si>
  <si>
    <t>District Name</t>
  </si>
  <si>
    <t>Substation Name</t>
  </si>
  <si>
    <t>Substation Location (City/Town)</t>
  </si>
  <si>
    <t>Feeder ID</t>
  </si>
  <si>
    <t>Feeder Location (Cities/Towns) (1)</t>
  </si>
  <si>
    <t>Initial Inclusion of Feeder in Report (Y/N) (2)</t>
  </si>
  <si>
    <t>STA 1 (3)</t>
  </si>
  <si>
    <t>STA 1</t>
  </si>
  <si>
    <t>STA1-1</t>
  </si>
  <si>
    <t>STA1-2</t>
  </si>
  <si>
    <t>STA 2 (3)</t>
  </si>
  <si>
    <t>STA 2</t>
  </si>
  <si>
    <t>STA2-1</t>
  </si>
  <si>
    <t>STA2-2</t>
  </si>
  <si>
    <t>STA 3 (3)</t>
  </si>
  <si>
    <t>STA 3</t>
  </si>
  <si>
    <t>STA3-1</t>
  </si>
  <si>
    <t>STA3-2</t>
  </si>
  <si>
    <t>TOTALS</t>
  </si>
  <si>
    <t>NOTES</t>
  </si>
  <si>
    <t>Data in entry cells of template is for reference only and should be overwritten with actual Company provided data. Please add rows for each additional substation/feeder as necessary.</t>
  </si>
  <si>
    <t>(1)  For each feeder reported, identify all cities and towns (separated by commas) where customers served by the feeder are located.</t>
  </si>
  <si>
    <r>
      <t>(2)  Enter "</t>
    </r>
    <r>
      <rPr>
        <b/>
        <sz val="11"/>
        <color theme="1"/>
        <rFont val="Calibri"/>
        <family val="2"/>
        <scheme val="minor"/>
      </rPr>
      <t>Y"</t>
    </r>
    <r>
      <rPr>
        <sz val="11"/>
        <color theme="1"/>
        <rFont val="Calibri"/>
        <family val="2"/>
        <scheme val="minor"/>
      </rPr>
      <t xml:space="preserve"> for a feeder that is included in an Annual Report for the first time or</t>
    </r>
    <r>
      <rPr>
        <b/>
        <sz val="11"/>
        <color theme="1"/>
        <rFont val="Calibri"/>
        <family val="2"/>
        <scheme val="minor"/>
      </rPr>
      <t xml:space="preserve"> "N"</t>
    </r>
    <r>
      <rPr>
        <sz val="11"/>
        <color theme="1"/>
        <rFont val="Calibri"/>
        <family val="2"/>
        <scheme val="minor"/>
      </rPr>
      <t xml:space="preserve"> for a feeder that was included in a previous Annual Report.</t>
    </r>
  </si>
  <si>
    <t>(3)  For each substation reported, include a row that identifies all grid modernization technologies deployed at the substation level.</t>
  </si>
  <si>
    <t>(4)  For each cell I7 through AC7, please populate cells with:  (i) a number, (ii) Yes/No, or (iii) other (provide explanation).</t>
  </si>
  <si>
    <t>TABLE 1.b</t>
  </si>
  <si>
    <t>TABLE 1.c</t>
  </si>
  <si>
    <t>TABLE 1.d</t>
  </si>
  <si>
    <t>TABLE 2</t>
  </si>
  <si>
    <t>Feeder Deployment Cumulative</t>
  </si>
  <si>
    <t>Plan Term</t>
  </si>
  <si>
    <r>
      <t>This table presents the required format for the reporting of the cumulative</t>
    </r>
    <r>
      <rPr>
        <b/>
        <sz val="11"/>
        <color theme="1"/>
        <rFont val="Calibri"/>
        <family val="2"/>
        <scheme val="minor"/>
      </rPr>
      <t xml:space="preserve"> </t>
    </r>
    <r>
      <rPr>
        <sz val="11"/>
        <color theme="1"/>
        <rFont val="Calibri"/>
        <family val="2"/>
        <scheme val="minor"/>
      </rPr>
      <t>deployment of grid modernization technologies at the feeder/substation level at the end of the plan year.</t>
    </r>
  </si>
  <si>
    <t>TABLE 3.a</t>
  </si>
  <si>
    <t>Feeder Status</t>
  </si>
  <si>
    <t>This table presents the required format for the reporting of the following information at the feeder/substation level:</t>
  </si>
  <si>
    <t>(1)  Feeder Characteristics</t>
  </si>
  <si>
    <t>(2)  Feeder Grid Modernization Capability at End of Plan Year</t>
  </si>
  <si>
    <t>(3)  DER Interconnections</t>
  </si>
  <si>
    <t>(4)  EV Charging Infrastructure( Eversource only)</t>
  </si>
  <si>
    <t>(5)  Performance Metrics</t>
  </si>
  <si>
    <t>Feeder/Substation Identification &amp; Location</t>
  </si>
  <si>
    <t>Feeder Characteristics</t>
  </si>
  <si>
    <t>Feeder Grid Modernization Capability at End of Plan Year</t>
  </si>
  <si>
    <t>DER Interconnections (7)</t>
  </si>
  <si>
    <t xml:space="preserve">State-Wide Performance Metrics </t>
  </si>
  <si>
    <t>Company-Specific Performance Metrics</t>
  </si>
  <si>
    <t># of DER Facilities</t>
  </si>
  <si>
    <t>Nominal DER Capacity (in kW)</t>
  </si>
  <si>
    <t>Estimated Annual DER Energy Output (in kWh)</t>
  </si>
  <si>
    <t>VVO-Related</t>
  </si>
  <si>
    <t>DMS-Power Flow and Control Capabilities</t>
  </si>
  <si>
    <t>Control Functions</t>
  </si>
  <si>
    <t>Customers Benefitting from GMP Investments</t>
  </si>
  <si>
    <t>Reliability-Related - Outage Duration and Frequency</t>
  </si>
  <si>
    <t>Eversource</t>
  </si>
  <si>
    <t>National Grid</t>
  </si>
  <si>
    <t>Unitil</t>
  </si>
  <si>
    <t>DER Type 1 [SPECIFY TYPE]</t>
  </si>
  <si>
    <t>DER Type 2 [SPECIFY TYPE]</t>
  </si>
  <si>
    <t>DER Type 3 [SPECIFY TYPE]</t>
  </si>
  <si>
    <t>Total (All DER Types)</t>
  </si>
  <si>
    <t>%  DER Capacity to Peak Demand</t>
  </si>
  <si>
    <t>Outage Duration and Frequency</t>
  </si>
  <si>
    <t>Advanced Load Flow Milestone</t>
  </si>
  <si>
    <t>Average Protective Zone Size</t>
  </si>
  <si>
    <t>Main Line Customer Minutes of Interruption</t>
  </si>
  <si>
    <t>Feeder Type (Overhead/ Underground)</t>
  </si>
  <si>
    <t>System Voltage (in kV)</t>
  </si>
  <si>
    <t>Feeder Capacity Rating (in MVA)</t>
  </si>
  <si>
    <t>Feeder Length (in miles)</t>
  </si>
  <si>
    <t>Current Customers Count</t>
  </si>
  <si>
    <t>Annual Energy Delivered (in kWh)</t>
  </si>
  <si>
    <t>Annual Energy Delivered (Metered/ Estimated) (4)</t>
  </si>
  <si>
    <t>Annual Peak Load (MVA)</t>
  </si>
  <si>
    <t>Automation Capability (Full/Partial/No) (5)</t>
  </si>
  <si>
    <t>VVO Capability (Full/Partial/No) (6)</t>
  </si>
  <si>
    <r>
      <t xml:space="preserve">Total # of </t>
    </r>
    <r>
      <rPr>
        <b/>
        <sz val="11"/>
        <color theme="1"/>
        <rFont val="Calibri"/>
        <family val="2"/>
        <scheme val="minor"/>
      </rPr>
      <t>Facilities Interconnected on Feeder</t>
    </r>
  </si>
  <si>
    <r>
      <t># of Customer-Owned</t>
    </r>
    <r>
      <rPr>
        <b/>
        <sz val="11"/>
        <color theme="1"/>
        <rFont val="Calibri"/>
        <family val="2"/>
        <scheme val="minor"/>
      </rPr>
      <t xml:space="preserve"> Facilities Interconnected on Feeder</t>
    </r>
  </si>
  <si>
    <r>
      <t>Total # of</t>
    </r>
    <r>
      <rPr>
        <sz val="11"/>
        <color theme="1"/>
        <rFont val="Calibri"/>
        <family val="2"/>
        <scheme val="minor"/>
      </rPr>
      <t xml:space="preserve"> </t>
    </r>
    <r>
      <rPr>
        <b/>
        <sz val="11"/>
        <color theme="1"/>
        <rFont val="Calibri"/>
        <family val="2"/>
        <scheme val="minor"/>
      </rPr>
      <t>Facilities Interconnected on Feeder</t>
    </r>
  </si>
  <si>
    <r>
      <t xml:space="preserve"># of Customer-Owned </t>
    </r>
    <r>
      <rPr>
        <b/>
        <sz val="11"/>
        <color theme="1"/>
        <rFont val="Calibri"/>
        <family val="2"/>
        <scheme val="minor"/>
      </rPr>
      <t>Facilities Interconnected on Feeder</t>
    </r>
  </si>
  <si>
    <t>Total # of DER Facilities Interconnected on Feeder</t>
  </si>
  <si>
    <t xml:space="preserve"> # of Customer-Owned DER Facilities Interconnected on Feeder</t>
  </si>
  <si>
    <r>
      <t xml:space="preserve">Nominal Capacity of All </t>
    </r>
    <r>
      <rPr>
        <b/>
        <sz val="11"/>
        <color theme="1"/>
        <rFont val="Calibri"/>
        <family val="2"/>
        <scheme val="minor"/>
      </rPr>
      <t>Facilities Interconnected on Feeder (in kW)</t>
    </r>
  </si>
  <si>
    <t>Nominal Capacity of Customer-Owned Facilities Interconnected on Feeder (in kW)</t>
  </si>
  <si>
    <r>
      <t xml:space="preserve">Nominal Capacity of Customer-Owned </t>
    </r>
    <r>
      <rPr>
        <b/>
        <sz val="11"/>
        <color theme="1"/>
        <rFont val="Calibri"/>
        <family val="2"/>
        <scheme val="minor"/>
      </rPr>
      <t>Facilities Interconnected on Feeder (in kW)</t>
    </r>
  </si>
  <si>
    <t>Nominal Capacity of All Facilities Interconnected on Feeder (in kW)</t>
  </si>
  <si>
    <t>Nominal Capacity of Customer-Owned Facilities Interconnected on Feeder (kW)</t>
  </si>
  <si>
    <t xml:space="preserve">Total Nominal Capacity (all DER types)/Feeder Peak Demand </t>
  </si>
  <si>
    <r>
      <t>Annual Energy Output of All</t>
    </r>
    <r>
      <rPr>
        <b/>
        <sz val="11"/>
        <color theme="1"/>
        <rFont val="Calibri"/>
        <family val="2"/>
        <scheme val="minor"/>
      </rPr>
      <t xml:space="preserve"> Facilities Interconnected on Feeder (in kWh)</t>
    </r>
  </si>
  <si>
    <r>
      <t>Annual Energy Output of Customer-Owned</t>
    </r>
    <r>
      <rPr>
        <b/>
        <sz val="11"/>
        <color theme="1"/>
        <rFont val="Calibri"/>
        <family val="2"/>
        <scheme val="minor"/>
      </rPr>
      <t xml:space="preserve"> Facilities Interconnected on Feeder (in kWh)</t>
    </r>
  </si>
  <si>
    <r>
      <t xml:space="preserve">Annual Energy Output of All </t>
    </r>
    <r>
      <rPr>
        <b/>
        <sz val="11"/>
        <color theme="1"/>
        <rFont val="Calibri"/>
        <family val="2"/>
        <scheme val="minor"/>
      </rPr>
      <t>Facilities Interconnected on Feeder</t>
    </r>
  </si>
  <si>
    <r>
      <t xml:space="preserve">Annual Energy Output of Customer-Owned </t>
    </r>
    <r>
      <rPr>
        <b/>
        <sz val="11"/>
        <color theme="1"/>
        <rFont val="Calibri"/>
        <family val="2"/>
        <scheme val="minor"/>
      </rPr>
      <t>Facilities Interconnected on Feeder (in kWh)</t>
    </r>
  </si>
  <si>
    <t>Annual Energy Output of All Facilities Interconnected on Feeder (in kWh)</t>
  </si>
  <si>
    <t>Annual Energy Output of Customer-Owned Facilities Interconnected on Feeder (in kWh)</t>
  </si>
  <si>
    <t># of Charging Sites Activated</t>
  </si>
  <si>
    <t># of Charging Ports Activated</t>
  </si>
  <si>
    <t>Locations of Charging Sites (Towns/Cities)</t>
  </si>
  <si>
    <t># of Level 2 Charging Ports</t>
  </si>
  <si>
    <t>Total Capacity of Level 2 Charging Ports (kW)</t>
  </si>
  <si>
    <t># of DCFC Charging Ports</t>
  </si>
  <si>
    <t>Total Capacity of DCFC Charging Ports (kw)</t>
  </si>
  <si>
    <t>Types of Charging Sites (e.g. public site, work place, MUD, EJ community)</t>
  </si>
  <si>
    <t>Annual Energy Delivered w/o VVO (kWh)</t>
  </si>
  <si>
    <t>Annual Energy Saving w/ VVO (kWh)</t>
  </si>
  <si>
    <t>Annual Peak Load w/o VVO (MVA)</t>
  </si>
  <si>
    <t>Annual Peak Load Reduction w/ VVO (MVA)</t>
  </si>
  <si>
    <t>Distribution Losses w/o VVO (kWh)</t>
  </si>
  <si>
    <t>Reduction of Distribution Losses w/VVO (kWh)</t>
  </si>
  <si>
    <t>Power Factor w/o VVO</t>
  </si>
  <si>
    <t>Power Factor w/ VVO</t>
  </si>
  <si>
    <t>GHG Emissions w/o VVO (metric tons)</t>
  </si>
  <si>
    <t>Reduction of GHG Emissions w/ VVO (metric tons)</t>
  </si>
  <si>
    <t># of Voltage Complaints, Plan Year</t>
  </si>
  <si>
    <t>Change in # of Voltage Complaints (Baseline minus Plan Year) (8)</t>
  </si>
  <si>
    <t>DMS Power Flow Capabilities (Y/N) (9)</t>
  </si>
  <si>
    <t># of Customers Benefiting from DMS Power Flow Capability</t>
  </si>
  <si>
    <t>Control Function Implemented (Y/N) (10)</t>
  </si>
  <si>
    <t>Type of Control Function(s) Implemented</t>
  </si>
  <si>
    <t># of Customers Benefitting from  Control Function</t>
  </si>
  <si>
    <t># of Customers Benefiting from DA Devices</t>
  </si>
  <si>
    <t>Types of DA Devices Benefiting Customers</t>
  </si>
  <si>
    <t>Feeder Level SAIDI w/Excludable Major Events, Plan Year</t>
  </si>
  <si>
    <t>Change in Feeder Level SAIDI w/Excludable Major Events (Baseline minus Plan Year) (11)</t>
  </si>
  <si>
    <t>Feeder Level SAIDI w/o Excludable Major Events, Plan Year</t>
  </si>
  <si>
    <t>Change in Feeder Level SAIDI w/o Excludable Major Events (Baseline minus Plan Year) (11)</t>
  </si>
  <si>
    <t>Feeder Level SAIFI w/Excludable Major Events, Plan Year</t>
  </si>
  <si>
    <t>Change in Feeder Level SAIFI w/Excludable Major Events (Baseline minus Plan Year) (11)</t>
  </si>
  <si>
    <t xml:space="preserve">Feeder Level SAIFI, Plan Year, w/o Excludable Major Events </t>
  </si>
  <si>
    <t>Change in Feeder Level SAIFI w/o Excludable Major Events (Baseline minus Plan Year) (11)</t>
  </si>
  <si>
    <t>Advanced Load Flow (Static, Semi-Auto 1, Semi-Auto 2, Full)  (12)</t>
  </si>
  <si>
    <t>Average Protective Zone Size, Plan Year (in # customers) (13)</t>
  </si>
  <si>
    <t>Change in Average Protective  Zone Size (Baseline minus Plan Year) (14)</t>
  </si>
  <si>
    <t>Customer Minutes of Interruption, Plan Year (15)</t>
  </si>
  <si>
    <t>Change in Customer Minutes of Interruption (Baseline minus Plan Year) (16)</t>
  </si>
  <si>
    <t>Customer Minutes Saved, Plan  Year (17)</t>
  </si>
  <si>
    <t>(1)   For each feeder reported, identify all cities and towns (separated by commas) where customers served by the feeder are located.</t>
  </si>
  <si>
    <r>
      <t>(2)   Enter "</t>
    </r>
    <r>
      <rPr>
        <b/>
        <sz val="11"/>
        <color theme="1"/>
        <rFont val="Calibri"/>
        <family val="2"/>
        <scheme val="minor"/>
      </rPr>
      <t>Y"</t>
    </r>
    <r>
      <rPr>
        <sz val="11"/>
        <color theme="1"/>
        <rFont val="Calibri"/>
        <family val="2"/>
        <scheme val="minor"/>
      </rPr>
      <t xml:space="preserve"> for a feeder that is included in an Annual Report for the first time or</t>
    </r>
    <r>
      <rPr>
        <b/>
        <sz val="11"/>
        <color theme="1"/>
        <rFont val="Calibri"/>
        <family val="2"/>
        <scheme val="minor"/>
      </rPr>
      <t xml:space="preserve"> "N"</t>
    </r>
    <r>
      <rPr>
        <sz val="11"/>
        <color theme="1"/>
        <rFont val="Calibri"/>
        <family val="2"/>
        <scheme val="minor"/>
      </rPr>
      <t xml:space="preserve"> for a feeder that was included in a previous Annual Report.</t>
    </r>
  </si>
  <si>
    <t>(3)   For each substation reported, a company should include a row that allows the company to identify  DMS Power Flow capabiltiy .</t>
  </si>
  <si>
    <r>
      <t>(4)   Enter (i) "</t>
    </r>
    <r>
      <rPr>
        <b/>
        <sz val="11"/>
        <color theme="1"/>
        <rFont val="Calibri"/>
        <family val="2"/>
        <scheme val="minor"/>
      </rPr>
      <t>Metered"</t>
    </r>
    <r>
      <rPr>
        <sz val="11"/>
        <color theme="1"/>
        <rFont val="Calibri"/>
        <family val="2"/>
        <scheme val="minor"/>
      </rPr>
      <t xml:space="preserve"> for feeders where Energy Delivered value is based on metered data, or (ii) "</t>
    </r>
    <r>
      <rPr>
        <b/>
        <sz val="11"/>
        <color theme="1"/>
        <rFont val="Calibri"/>
        <family val="2"/>
        <scheme val="minor"/>
      </rPr>
      <t>Estimated"</t>
    </r>
    <r>
      <rPr>
        <sz val="11"/>
        <color theme="1"/>
        <rFont val="Calibri"/>
        <family val="2"/>
        <scheme val="minor"/>
      </rPr>
      <t xml:space="preserve"> for feeders where Energy Delivered value is based on estimated data.</t>
    </r>
  </si>
  <si>
    <t>Feeder Capability</t>
  </si>
  <si>
    <r>
      <t>(5)   Enter (i)</t>
    </r>
    <r>
      <rPr>
        <b/>
        <sz val="11"/>
        <color theme="1"/>
        <rFont val="Calibri"/>
        <family val="2"/>
        <scheme val="minor"/>
      </rPr>
      <t xml:space="preserve"> "Full"</t>
    </r>
    <r>
      <rPr>
        <sz val="11"/>
        <color theme="1"/>
        <rFont val="Calibri"/>
        <family val="2"/>
        <scheme val="minor"/>
      </rPr>
      <t xml:space="preserve"> for feeders that are fully automated; (ii) "</t>
    </r>
    <r>
      <rPr>
        <b/>
        <sz val="11"/>
        <color theme="1"/>
        <rFont val="Calibri"/>
        <family val="2"/>
        <scheme val="minor"/>
      </rPr>
      <t xml:space="preserve">Partial" </t>
    </r>
    <r>
      <rPr>
        <sz val="11"/>
        <color theme="1"/>
        <rFont val="Calibri"/>
        <family val="2"/>
        <scheme val="minor"/>
      </rPr>
      <t>for feeders that are partially automated; or (iii) "</t>
    </r>
    <r>
      <rPr>
        <b/>
        <sz val="11"/>
        <color theme="1"/>
        <rFont val="Calibri"/>
        <family val="2"/>
        <scheme val="minor"/>
      </rPr>
      <t>No"</t>
    </r>
    <r>
      <rPr>
        <sz val="11"/>
        <color theme="1"/>
        <rFont val="Calibri"/>
        <family val="2"/>
        <scheme val="minor"/>
      </rPr>
      <t xml:space="preserve"> for feeders that are not automated.</t>
    </r>
  </si>
  <si>
    <r>
      <t xml:space="preserve">(6)   Enter (i) </t>
    </r>
    <r>
      <rPr>
        <b/>
        <sz val="11"/>
        <color theme="1"/>
        <rFont val="Calibri"/>
        <family val="2"/>
        <scheme val="minor"/>
      </rPr>
      <t>"Full"</t>
    </r>
    <r>
      <rPr>
        <sz val="11"/>
        <color theme="1"/>
        <rFont val="Calibri"/>
        <family val="2"/>
        <scheme val="minor"/>
      </rPr>
      <t xml:space="preserve"> for feeders that are VVO-enabled with remote control capability; (ii) </t>
    </r>
    <r>
      <rPr>
        <b/>
        <sz val="11"/>
        <color theme="1"/>
        <rFont val="Calibri"/>
        <family val="2"/>
        <scheme val="minor"/>
      </rPr>
      <t>"Partial"</t>
    </r>
    <r>
      <rPr>
        <sz val="11"/>
        <color theme="1"/>
        <rFont val="Calibri"/>
        <family val="2"/>
        <scheme val="minor"/>
      </rPr>
      <t xml:space="preserve"> for feeders that are VVO-enabled without remote control capability; or (iii) </t>
    </r>
    <r>
      <rPr>
        <b/>
        <sz val="11"/>
        <color theme="1"/>
        <rFont val="Calibri"/>
        <family val="2"/>
        <scheme val="minor"/>
      </rPr>
      <t>"No"</t>
    </r>
    <r>
      <rPr>
        <sz val="11"/>
        <color theme="1"/>
        <rFont val="Calibri"/>
        <family val="2"/>
        <scheme val="minor"/>
      </rPr>
      <t xml:space="preserve"> for feeders that are not VVO-enabled.</t>
    </r>
  </si>
  <si>
    <t>DER Interconnections</t>
  </si>
  <si>
    <t>(7)   Insert additional columns as needed to provide the specified information for all DER types interconnected to the distribution system. DER types include various power generation fuels, storage, Level 2 EV charging stations, DC fast charging stations, and any other DER types that are interconnected to the distribution system.</t>
  </si>
  <si>
    <t>Performance Metrics -  Statewide</t>
  </si>
  <si>
    <t>(8)   For each feeder, the baseline for this metric should be the annual average of voltage complaints for the three-year period, 2015-2017, as set forth in Table 9 (Pre-Investment Baselines).</t>
  </si>
  <si>
    <r>
      <t>(9)   Enter "</t>
    </r>
    <r>
      <rPr>
        <b/>
        <sz val="11"/>
        <color theme="1"/>
        <rFont val="Calibri"/>
        <family val="2"/>
        <scheme val="minor"/>
      </rPr>
      <t xml:space="preserve">Y" </t>
    </r>
    <r>
      <rPr>
        <sz val="11"/>
        <color theme="1"/>
        <rFont val="Calibri"/>
        <family val="2"/>
        <scheme val="minor"/>
      </rPr>
      <t>for substations where all feeders are modeled daily with no unwarranted voltage or capacity violations over a consecutive 30-day period.</t>
    </r>
  </si>
  <si>
    <r>
      <t>(10) Enter "</t>
    </r>
    <r>
      <rPr>
        <b/>
        <sz val="11"/>
        <color theme="1"/>
        <rFont val="Calibri"/>
        <family val="2"/>
        <scheme val="minor"/>
      </rPr>
      <t>Y"</t>
    </r>
    <r>
      <rPr>
        <sz val="11"/>
        <color theme="1"/>
        <rFont val="Calibri"/>
        <family val="2"/>
        <scheme val="minor"/>
      </rPr>
      <t xml:space="preserve"> for feeders where the devices deployed on the feeder can be automatically controlled by DMS commands.</t>
    </r>
  </si>
  <si>
    <t>(11) For each feeder, the baseline for SAIDI/SAIFI should be the annual average of SAIDI/SAIFI for the three-year period, 2015-2017, as set forth in Table 9 (Pre-Investment Baselines).</t>
  </si>
  <si>
    <t>Performance Metrics -  Company Specific</t>
  </si>
  <si>
    <r>
      <t>(12) Eversource only:  Enter (i) "S</t>
    </r>
    <r>
      <rPr>
        <b/>
        <sz val="11"/>
        <color theme="1"/>
        <rFont val="Calibri"/>
        <family val="2"/>
        <scheme val="minor"/>
      </rPr>
      <t>tatic"</t>
    </r>
    <r>
      <rPr>
        <sz val="11"/>
        <color theme="1"/>
        <rFont val="Calibri"/>
        <family val="2"/>
        <scheme val="minor"/>
      </rPr>
      <t xml:space="preserve"> for feeders where the company has static analysis ability, (ii) "S</t>
    </r>
    <r>
      <rPr>
        <b/>
        <sz val="11"/>
        <color theme="1"/>
        <rFont val="Calibri"/>
        <family val="2"/>
        <scheme val="minor"/>
      </rPr>
      <t>emi-auto 1"</t>
    </r>
    <r>
      <rPr>
        <sz val="11"/>
        <color theme="1"/>
        <rFont val="Calibri"/>
        <family val="2"/>
        <scheme val="minor"/>
      </rPr>
      <t xml:space="preserve"> for feeders where the company has semi-automatic 1 analysis ability, (iii) "S</t>
    </r>
    <r>
      <rPr>
        <b/>
        <sz val="11"/>
        <color theme="1"/>
        <rFont val="Calibri"/>
        <family val="2"/>
        <scheme val="minor"/>
      </rPr>
      <t xml:space="preserve">emi-auto 2" </t>
    </r>
    <r>
      <rPr>
        <sz val="11"/>
        <color theme="1"/>
        <rFont val="Calibri"/>
        <family val="2"/>
        <scheme val="minor"/>
      </rPr>
      <t xml:space="preserve">for feeders where the company has semi-automatic 2 analysis ability, or (iv) </t>
    </r>
    <r>
      <rPr>
        <b/>
        <sz val="11"/>
        <color theme="1"/>
        <rFont val="Calibri"/>
        <family val="2"/>
        <scheme val="minor"/>
      </rPr>
      <t>"Full"</t>
    </r>
    <r>
      <rPr>
        <sz val="11"/>
        <color theme="1"/>
        <rFont val="Calibri"/>
        <family val="2"/>
        <scheme val="minor"/>
      </rPr>
      <t xml:space="preserve"> for feeders where the company has full automated analysis ability.</t>
    </r>
  </si>
  <si>
    <t>(13) National Grid only:  For each feeder, enter the customer minutes of interruption during the plan year that result from mainline interruptions.</t>
  </si>
  <si>
    <t>(14) Unitil only:  For each feeder, calculate the total number of customer minute saved during the plan year as the sum of the customer minutes saved per outage on the feeder, 
as provided in Table 8 (Unitil – Customer Minutes Saved).</t>
  </si>
  <si>
    <t>TABLE 3.b</t>
  </si>
  <si>
    <t>TABLE 3.c</t>
  </si>
  <si>
    <t>TABLE 3.d</t>
  </si>
  <si>
    <t>TABLE 4.a</t>
  </si>
  <si>
    <t>System Status</t>
  </si>
  <si>
    <t>This table presents the required format for the system-level reporting of grid modernization capabilities and performance metrics:</t>
  </si>
  <si>
    <t>(1)  Automation Capability</t>
  </si>
  <si>
    <t>(2)  VVO Capability</t>
  </si>
  <si>
    <t>(3)  DMS Power Flow and Control Capabilities (Y/N)</t>
  </si>
  <si>
    <t>(4)  Control Function Capability</t>
  </si>
  <si>
    <t>(5)  Load Flow Modeling Capability</t>
  </si>
  <si>
    <r>
      <t xml:space="preserve">(6) </t>
    </r>
    <r>
      <rPr>
        <i/>
        <sz val="11"/>
        <color theme="1"/>
        <rFont val="Calibri"/>
        <family val="2"/>
        <scheme val="minor"/>
      </rPr>
      <t>(Eversource only)</t>
    </r>
    <r>
      <rPr>
        <sz val="11"/>
        <color theme="1"/>
        <rFont val="Calibri"/>
        <family val="2"/>
        <scheme val="minor"/>
      </rPr>
      <t xml:space="preserve"> Advanced Load Flow Capability </t>
    </r>
  </si>
  <si>
    <t>Grid Modernization Capabilities</t>
  </si>
  <si>
    <t>Performance Metrics - Statewide</t>
  </si>
  <si>
    <t>Performance Metrics - Company Specific</t>
  </si>
  <si>
    <t>Automation Capability</t>
  </si>
  <si>
    <t xml:space="preserve">VVO Capability </t>
  </si>
  <si>
    <t>Load Flow Modeling Capability</t>
  </si>
  <si>
    <t># Customers Benefitting from GMP Investments</t>
  </si>
  <si>
    <t xml:space="preserve">Eversource - Advanced Load Flow Capability </t>
  </si>
  <si>
    <t>National Grid - Main Line Interruptions</t>
  </si>
  <si>
    <t>Unitil - Customer Minutes Saved</t>
  </si>
  <si>
    <t>System Wide Status</t>
  </si>
  <si>
    <t>Fully Automated</t>
  </si>
  <si>
    <t>Partially Automated</t>
  </si>
  <si>
    <t>Not Automated</t>
  </si>
  <si>
    <t>VVO-Enabled w/Remote Control Capability</t>
  </si>
  <si>
    <t>VVO-Enabled w/o Remote Control Capability</t>
  </si>
  <si>
    <t>Not VVO-Enabled</t>
  </si>
  <si>
    <t>DMS Power Flow Modeled and Control Capabilities</t>
  </si>
  <si>
    <t>Control Function</t>
  </si>
  <si>
    <t xml:space="preserve">Automated Zone Size Reduced  </t>
  </si>
  <si>
    <t>Static</t>
  </si>
  <si>
    <t>Semi-Automatic 1</t>
  </si>
  <si>
    <t>Semi-Automatic 2</t>
  </si>
  <si>
    <t>Change in Customer Minutes of Interruption</t>
  </si>
  <si>
    <t>Customer Minutes Saved</t>
  </si>
  <si>
    <t xml:space="preserve"># of Feeders (1) </t>
  </si>
  <si>
    <t>% Total Feeders (1)</t>
  </si>
  <si>
    <t># of Customers (2)</t>
  </si>
  <si>
    <t xml:space="preserve">% of Total Customers (2) </t>
  </si>
  <si>
    <t>Feeder Load (MWh) (3)</t>
  </si>
  <si>
    <t>% of Total Load (3)</t>
  </si>
  <si>
    <t xml:space="preserve">Peak Demand (MW) (4) </t>
  </si>
  <si>
    <t>% Total Peak Demand (4)</t>
  </si>
  <si>
    <t># Minutes</t>
  </si>
  <si>
    <t>Notes</t>
  </si>
  <si>
    <t xml:space="preserve">(1)   Enter number of feeders that have attained the specified grid modernization capability and percentage of total feeders that the number represents. </t>
  </si>
  <si>
    <t>(2)   Enter number of customers served by feeders that have attained the specified grid modernization capability and percentage of total customers that the number represents.</t>
  </si>
  <si>
    <t>(3)   Enter annual energy delivered (in MWh) by feeders that have attained the specified grid modernization capability and percentage of energy delivered systemwide the MWh represent.</t>
  </si>
  <si>
    <t>(4)   Enter (coincident) peak demand (in MW) of feeders that have attained the specified grid modernization capability and percentage of system peak demand the MW represent.</t>
  </si>
  <si>
    <t>TABLE 4.b</t>
  </si>
  <si>
    <t>TABLE 4.c</t>
  </si>
  <si>
    <t>TABLE 4.d</t>
  </si>
  <si>
    <t>TABLE 5.a</t>
  </si>
  <si>
    <t xml:space="preserve">This table presents the required format for the reporting of the system-level deployment and spending information in the 2018 Annual Report. </t>
  </si>
  <si>
    <t xml:space="preserve">All dollar amounts should be reported unrounded, to the cent. </t>
  </si>
  <si>
    <t>Investment Category</t>
  </si>
  <si>
    <t>Preauthorized Device Type</t>
  </si>
  <si>
    <t>Actual Deployment 
(# of Devices)</t>
  </si>
  <si>
    <t>Actual Spending, Total 
($)</t>
  </si>
  <si>
    <t>Actual Spending, In-Service 
($)</t>
  </si>
  <si>
    <t>TOTAL</t>
  </si>
  <si>
    <t>TABLE 5.b</t>
  </si>
  <si>
    <t xml:space="preserve">This table presents the required format for the reporting of the system-level deployment and spending information in the 2019 Annual Report. </t>
  </si>
  <si>
    <t xml:space="preserve">Reported Projection </t>
  </si>
  <si>
    <t>Actual</t>
  </si>
  <si>
    <t>% Difference</t>
  </si>
  <si>
    <t>Reported Projected Deployment 
(# of Devices)</t>
  </si>
  <si>
    <t>Reported Projected Spending, Total 
($)</t>
  </si>
  <si>
    <t>Reported Projected Spending, In-Service 
($)</t>
  </si>
  <si>
    <t>% Difference, Actual vs. Reported Projected Deployment</t>
  </si>
  <si>
    <t>% Difference, Actual vs. Reported Projected Spending, Total</t>
  </si>
  <si>
    <t>% Difference, Actual vs. Reported Spending, In-Service</t>
  </si>
  <si>
    <t>TABLE 5.c</t>
  </si>
  <si>
    <t xml:space="preserve">This table presents the required format for the reporting of the system-level deployment and spending information in the 2020 Annual Report. </t>
  </si>
  <si>
    <t>TABLE 5.d</t>
  </si>
  <si>
    <t xml:space="preserve">This table presents the required format for the reporting of the system-level deployment and spending information in the 2021 Annual Report. </t>
  </si>
  <si>
    <t>TABLE 5.e</t>
  </si>
  <si>
    <t xml:space="preserve">This table presents the required format for the reporting of the system-level deployment and spending information for the 2018-2021 Term Report. </t>
  </si>
  <si>
    <t>Reported Projected Spending, Total ($)</t>
  </si>
  <si>
    <t>Actual Spending: Total 
($)</t>
  </si>
  <si>
    <t>Actual Spending: In-Service 
($)</t>
  </si>
  <si>
    <t>% Difference, Revised vs. Reported Projected Deployment</t>
  </si>
  <si>
    <t>% Difference, Revised vs. Reported Projected Spending, Total</t>
  </si>
  <si>
    <t>% Difference, Revised vs. Reported Projected Spending, In-Service</t>
  </si>
  <si>
    <t>Capital Spending ($)</t>
  </si>
  <si>
    <t>Cumulative</t>
  </si>
  <si>
    <t>Charge Types</t>
  </si>
  <si>
    <t>Labor</t>
  </si>
  <si>
    <t>Non Labor</t>
  </si>
  <si>
    <t>Total</t>
  </si>
  <si>
    <t>Total Grid Modernization</t>
  </si>
  <si>
    <t>O&amp;M ($)</t>
  </si>
  <si>
    <t>Internal O&amp;M (labor-related)</t>
  </si>
  <si>
    <t>External contractor expense</t>
  </si>
  <si>
    <t>Capital and O&amp;M</t>
  </si>
  <si>
    <t>TABLE 6.a</t>
  </si>
  <si>
    <t xml:space="preserve">Substation Information </t>
  </si>
  <si>
    <t xml:space="preserve">This table presents the required format for the reporting of general substation level information. </t>
  </si>
  <si>
    <t>Substation Location (Division)</t>
  </si>
  <si>
    <t>Substation Location (District)</t>
  </si>
  <si>
    <t>#  of Feeders Served Off of Substation</t>
  </si>
  <si>
    <t xml:space="preserve"> # of Customers Served by Substation</t>
  </si>
  <si>
    <t>Annual Energy Delivered by Substation (in MWh)</t>
  </si>
  <si>
    <t>Substation Peak Demand (in MW)</t>
  </si>
  <si>
    <r>
      <rPr>
        <b/>
        <sz val="11"/>
        <color theme="1"/>
        <rFont val="Calibri"/>
        <family val="2"/>
        <scheme val="minor"/>
      </rPr>
      <t>Note:</t>
    </r>
    <r>
      <rPr>
        <sz val="11"/>
        <color theme="1"/>
        <rFont val="Calibri"/>
        <family val="2"/>
        <scheme val="minor"/>
      </rPr>
      <t xml:space="preserve">  Data in entry cells of template is for reference only and should be overwritten with actual Company provided data. Please add rows for each additional substation as necessary.</t>
    </r>
  </si>
  <si>
    <t>TABLE 6.b</t>
  </si>
  <si>
    <t>TABLE 6.c</t>
  </si>
  <si>
    <t>TABLE 6.d</t>
  </si>
  <si>
    <t>Table 7</t>
  </si>
  <si>
    <t>DMS Power Flow and Control Capabilities</t>
  </si>
  <si>
    <t>Feeder ID (1)</t>
  </si>
  <si>
    <t>Full or Partial (2)</t>
  </si>
  <si>
    <t># of Warranted Voltage Violations during Consecutive 30-Day Testing Period</t>
  </si>
  <si>
    <t># of Unwarranted Voltage Violations during Consecutive 30-Day Testing Period</t>
  </si>
  <si>
    <t># of Warranted Capacity Violations during Consecutive 30-Day Testing Period</t>
  </si>
  <si>
    <t># of Unwarranted Capacity Violations during Consecutive 30-Day Testing Period</t>
  </si>
  <si>
    <t>Explanation of Warranted Violations</t>
  </si>
  <si>
    <t>(1)  Provide the specified information for each feeder that is connected to a substation for which a power flow model is available on a daily basis.</t>
  </si>
  <si>
    <r>
      <t>(2)  Enter (i) "</t>
    </r>
    <r>
      <rPr>
        <b/>
        <sz val="11"/>
        <color theme="1"/>
        <rFont val="Calibri"/>
        <family val="2"/>
        <scheme val="minor"/>
      </rPr>
      <t>Full"</t>
    </r>
    <r>
      <rPr>
        <sz val="11"/>
        <color theme="1"/>
        <rFont val="Calibri"/>
        <family val="2"/>
        <scheme val="minor"/>
      </rPr>
      <t xml:space="preserve"> for feeders that are modeled and successfully tested over a consecutive 30-day period or (ii) "</t>
    </r>
    <r>
      <rPr>
        <b/>
        <sz val="11"/>
        <color theme="1"/>
        <rFont val="Calibri"/>
        <family val="2"/>
        <scheme val="minor"/>
      </rPr>
      <t>Partial"</t>
    </r>
    <r>
      <rPr>
        <sz val="11"/>
        <color theme="1"/>
        <rFont val="Calibri"/>
        <family val="2"/>
        <scheme val="minor"/>
      </rPr>
      <t xml:space="preserve"> for feeders that are modeled but not successfully tested over a consecutive 30-day period.</t>
    </r>
  </si>
  <si>
    <t>Table 8</t>
  </si>
  <si>
    <t>Unitil Customer Minutes Saved</t>
  </si>
  <si>
    <t>Outage and Customer Impact Information</t>
  </si>
  <si>
    <t xml:space="preserve">Outage # (2) </t>
  </si>
  <si>
    <t>Time of First Notification from AMI to OMS (Minutes)</t>
  </si>
  <si>
    <t>Time of First Notification from IVR to OMS (Minutes)</t>
  </si>
  <si>
    <t># of Minutes Saved During Outage (3)</t>
  </si>
  <si>
    <t># of Customers Affected by Outage</t>
  </si>
  <si>
    <t xml:space="preserve">Customer Minutes Saved (4) </t>
  </si>
  <si>
    <t>Feeder Total</t>
  </si>
  <si>
    <t>(1) Provide the specified information for each feeder included in Table 3 (Feeder Status).</t>
  </si>
  <si>
    <t>(2) List every outage that occurred on the applicable feeder during the plan year.</t>
  </si>
  <si>
    <t>Table 9</t>
  </si>
  <si>
    <t>Grid Modernization Performance Metrics Pre-Investment Baselines for All Feeders</t>
  </si>
  <si>
    <t>Feeder Characteristics in 2017</t>
  </si>
  <si>
    <t>DER Interconnections in 2017</t>
  </si>
  <si>
    <t>State-Wide Performance Metrics Pre-investment Baselines</t>
  </si>
  <si>
    <t>Company-Specific Performance Metrics Pre-Investment Baselines</t>
  </si>
  <si>
    <t>Reliability Related</t>
  </si>
  <si>
    <t>VVO Energy Savings                                                                      (Performance Metric Compliance Filing, § 2.2)</t>
  </si>
  <si>
    <t>VVO Peak Load Impact                                          (Performance Metric Compliance Filing, § 2.3)</t>
  </si>
  <si>
    <t>VVO-Related Voltage Complaints (Performance Metric Compliance Filing, § 2.12)</t>
  </si>
  <si>
    <t>Outage Duration and Frequency (Performance Metrics Compliance Filing, § 2.10 &amp; § 2.11)</t>
  </si>
  <si>
    <t>Advanced Load Flow Milestone Completion (Performance Metrics Compliance Filing, §A.1.0)</t>
  </si>
  <si>
    <t>Averag Outage Zone Size (Performance Metrics Compliance Filing, §A.2.0)</t>
  </si>
  <si>
    <t>Main Line Customer Minutes of Interruption (Performance Metrics Compliance Filing, §C.1.0)</t>
  </si>
  <si>
    <t>Annual Energy Delivered (kWh)</t>
  </si>
  <si>
    <t># of Voltage Complaints</t>
  </si>
  <si>
    <t>Milestone Completion in 2017</t>
  </si>
  <si>
    <t>Metered or Estimated</t>
  </si>
  <si>
    <t>2015-2017 Average</t>
  </si>
  <si>
    <t xml:space="preserve">Circuit Level SAIDI, 2015-2017 average, w/Excludable Major Events </t>
  </si>
  <si>
    <t xml:space="preserve">Circuit Level SAIDI, 2015-2017 average, w/o Excludable Major Events </t>
  </si>
  <si>
    <t xml:space="preserve">Circuit Level SAIFI, 2015-2017 average, w/Excludable Major Events </t>
  </si>
  <si>
    <t xml:space="preserve">Circuit Level SAIFI, 2015-2017 average, w/o Excludable Major Events </t>
  </si>
  <si>
    <t>Summary of Main Causes of Outages</t>
  </si>
  <si>
    <t>Static Automation (Y/N)</t>
  </si>
  <si>
    <t>Semi-Automatic 1 (Y/N)</t>
  </si>
  <si>
    <t>Semi-Automatic 2 (Y/N)</t>
  </si>
  <si>
    <t>Fully Automated (Y/N)</t>
  </si>
  <si>
    <t>Baseline:  2017 Average Outage Zone Size, in # customers</t>
  </si>
  <si>
    <t>Baseline:  Average 2015 - 2017</t>
  </si>
  <si>
    <t>(1)  For each feeder reported, a company should identify all of the cities and towns (separated by commas) in which the customers that the feeder serves are located.</t>
  </si>
  <si>
    <r>
      <t>(2)  A company should enter (i) "</t>
    </r>
    <r>
      <rPr>
        <b/>
        <sz val="11"/>
        <color theme="1"/>
        <rFont val="Calibri"/>
        <family val="2"/>
        <scheme val="minor"/>
      </rPr>
      <t>Y"</t>
    </r>
    <r>
      <rPr>
        <sz val="11"/>
        <color theme="1"/>
        <rFont val="Calibri"/>
        <family val="2"/>
        <scheme val="minor"/>
      </rPr>
      <t xml:space="preserve"> for a feeder that it is including in its Annual Report for the first time, or (2) "</t>
    </r>
    <r>
      <rPr>
        <b/>
        <sz val="11"/>
        <color theme="1"/>
        <rFont val="Calibri"/>
        <family val="2"/>
        <scheme val="minor"/>
      </rPr>
      <t>N"</t>
    </r>
    <r>
      <rPr>
        <sz val="11"/>
        <color theme="1"/>
        <rFont val="Calibri"/>
        <family val="2"/>
        <scheme val="minor"/>
      </rPr>
      <t xml:space="preserve"> for a feeder that it has included in previous its Annual Reports.</t>
    </r>
  </si>
  <si>
    <r>
      <t>(3)  A company should enter (i) "</t>
    </r>
    <r>
      <rPr>
        <b/>
        <sz val="11"/>
        <color theme="1"/>
        <rFont val="Calibri"/>
        <family val="2"/>
        <scheme val="minor"/>
      </rPr>
      <t>Metered"</t>
    </r>
    <r>
      <rPr>
        <sz val="11"/>
        <color theme="1"/>
        <rFont val="Calibri"/>
        <family val="2"/>
        <scheme val="minor"/>
      </rPr>
      <t xml:space="preserve"> for feeders for which the Energy Delivered value is based on metered data or (ii) "</t>
    </r>
    <r>
      <rPr>
        <b/>
        <sz val="11"/>
        <color theme="1"/>
        <rFont val="Calibri"/>
        <family val="2"/>
        <scheme val="minor"/>
      </rPr>
      <t>Estimated"</t>
    </r>
    <r>
      <rPr>
        <sz val="11"/>
        <color theme="1"/>
        <rFont val="Calibri"/>
        <family val="2"/>
        <scheme val="minor"/>
      </rPr>
      <t xml:space="preserve"> for feeders for which the Energy Delivered value is based on estimated data.</t>
    </r>
  </si>
  <si>
    <t>2022-2025</t>
  </si>
  <si>
    <t>EV Charging Infrastructure</t>
  </si>
  <si>
    <t>2022-2025Term</t>
  </si>
  <si>
    <t>IT/OT</t>
  </si>
  <si>
    <t>Advanced Load Flow</t>
  </si>
  <si>
    <t>DER Mitigation</t>
  </si>
  <si>
    <t>Probabilistic Power Flow</t>
  </si>
  <si>
    <t>Interconnection Automation</t>
  </si>
  <si>
    <t>Communications (Eversource, New)</t>
  </si>
  <si>
    <t>Demonstration</t>
  </si>
  <si>
    <t>DERMs (including Dynamic DER Interface)</t>
  </si>
  <si>
    <t>Monitoring &amp; Control (SCADA, including Power Quality Monitoring)</t>
  </si>
  <si>
    <t>System Spending - 2022 Report</t>
  </si>
  <si>
    <t>System Spending - 2023 Report</t>
  </si>
  <si>
    <t>System Spending - 2024 Report</t>
  </si>
  <si>
    <t>System Spending - 2025 Report</t>
  </si>
  <si>
    <t>System Cumulative Spending - 2022-2025 Term Report</t>
  </si>
  <si>
    <t>DERMs (including Dynamice DER Interface)</t>
  </si>
  <si>
    <t>M&amp;V and Program Management</t>
  </si>
  <si>
    <t>AMI Meter Replacement (Unitil)</t>
  </si>
  <si>
    <t>Customer Engagement (Unitil)</t>
  </si>
  <si>
    <t>Data Sharing Platform (Unitil)</t>
  </si>
  <si>
    <t>Program Management</t>
  </si>
  <si>
    <t>Monitoring &amp; Control (SCADA and PQ)</t>
  </si>
  <si>
    <t>OMS/AMI Integration</t>
  </si>
  <si>
    <t>Distribution Management System</t>
  </si>
  <si>
    <t>DERMS</t>
  </si>
  <si>
    <t>Field Area Network</t>
  </si>
  <si>
    <t>Mobile Damage Assessment</t>
  </si>
  <si>
    <t>SCADA</t>
  </si>
  <si>
    <t>DER Integration</t>
  </si>
  <si>
    <t>Third Party M&amp;V Evaluation</t>
  </si>
  <si>
    <t>Substation Automation</t>
  </si>
  <si>
    <t>PQ Monitoring</t>
  </si>
  <si>
    <t>Monitoring &amp; Control (SCADA)</t>
  </si>
  <si>
    <t xml:space="preserve">Feeder Monitors </t>
  </si>
  <si>
    <t>OH DA w/Ties</t>
  </si>
  <si>
    <t>OH DA w/o Ties</t>
  </si>
  <si>
    <t>Engo</t>
  </si>
  <si>
    <t>Inverter Demo</t>
  </si>
  <si>
    <t>VVO - Regulators</t>
  </si>
  <si>
    <t>VVO - Capacitor Banks</t>
  </si>
  <si>
    <t>VVO - LTC Controls</t>
  </si>
  <si>
    <t>VVO - Line Sensors</t>
  </si>
  <si>
    <t>Communications and Information/Operational Technologies (IT/OT)  </t>
  </si>
  <si>
    <t>Communications System Modernization</t>
  </si>
  <si>
    <t>Wireless Communications Improvements</t>
  </si>
  <si>
    <t>Probabilistic Power Flow Modeling</t>
  </si>
  <si>
    <t>Dynamic DER Interface</t>
  </si>
  <si>
    <t>Systems Support and Maintenance</t>
  </si>
  <si>
    <t>Capacitor Banks</t>
  </si>
  <si>
    <t>N/A</t>
  </si>
  <si>
    <t>Beech Street</t>
  </si>
  <si>
    <t>Fitchburg</t>
  </si>
  <si>
    <t>1W1</t>
  </si>
  <si>
    <t>N</t>
  </si>
  <si>
    <t>1W2</t>
  </si>
  <si>
    <t>1W4</t>
  </si>
  <si>
    <t>1W6</t>
  </si>
  <si>
    <t>Canton Street</t>
  </si>
  <si>
    <t>11H10</t>
  </si>
  <si>
    <t>11H11</t>
  </si>
  <si>
    <t>11W11</t>
  </si>
  <si>
    <t>Townsend</t>
  </si>
  <si>
    <t>15W14</t>
  </si>
  <si>
    <t>15W15</t>
  </si>
  <si>
    <t>15W16</t>
  </si>
  <si>
    <t>Townsend, Lunenburg</t>
  </si>
  <si>
    <t>15W17</t>
  </si>
  <si>
    <t>Nockege</t>
  </si>
  <si>
    <t>20W22</t>
  </si>
  <si>
    <t>Wallace Road</t>
  </si>
  <si>
    <t>Sawyer Passway</t>
  </si>
  <si>
    <t>22W1</t>
  </si>
  <si>
    <t>22W2</t>
  </si>
  <si>
    <t>22W3</t>
  </si>
  <si>
    <t>22W8</t>
  </si>
  <si>
    <t>22W10</t>
  </si>
  <si>
    <t>22W11</t>
  </si>
  <si>
    <t>22W12</t>
  </si>
  <si>
    <t>22W17</t>
  </si>
  <si>
    <t>Network</t>
  </si>
  <si>
    <t>River Street</t>
  </si>
  <si>
    <t>25W27</t>
  </si>
  <si>
    <t>25W28</t>
  </si>
  <si>
    <t>25W29</t>
  </si>
  <si>
    <t>Lunenburg</t>
  </si>
  <si>
    <t>30W30</t>
  </si>
  <si>
    <t>30W31</t>
  </si>
  <si>
    <t>Lunenburg, Townsend, Fitchburg</t>
  </si>
  <si>
    <t>Pleasant Street</t>
  </si>
  <si>
    <t>31W34</t>
  </si>
  <si>
    <t>Lunenburg, Fitchburg</t>
  </si>
  <si>
    <t>31W37</t>
  </si>
  <si>
    <t>31W38</t>
  </si>
  <si>
    <t>Rindge Road</t>
  </si>
  <si>
    <t>35W36</t>
  </si>
  <si>
    <t>Fitchburg, Ashby</t>
  </si>
  <si>
    <t>West Townsend</t>
  </si>
  <si>
    <t>39W18</t>
  </si>
  <si>
    <t>39W19</t>
  </si>
  <si>
    <t>Townsend, Ashby</t>
  </si>
  <si>
    <t>Summer Street</t>
  </si>
  <si>
    <t>40W38</t>
  </si>
  <si>
    <t>40W39</t>
  </si>
  <si>
    <t>40W40</t>
  </si>
  <si>
    <t>Fitchburg, Ashby, Lunenburg</t>
  </si>
  <si>
    <t>40W42</t>
  </si>
  <si>
    <t>Princeton Road</t>
  </si>
  <si>
    <t>50W51</t>
  </si>
  <si>
    <t>50W53</t>
  </si>
  <si>
    <t>50W54</t>
  </si>
  <si>
    <t>50W55</t>
  </si>
  <si>
    <t>50W56</t>
  </si>
  <si>
    <t>Unitil - FG&amp;E</t>
  </si>
  <si>
    <t>Dist. Management System</t>
  </si>
  <si>
    <t>Full</t>
  </si>
  <si>
    <t>No</t>
  </si>
  <si>
    <t>Partial</t>
  </si>
  <si>
    <t>Y</t>
  </si>
  <si>
    <t>VVO</t>
  </si>
  <si>
    <t>Overhead</t>
  </si>
  <si>
    <t>13.8 kV</t>
  </si>
  <si>
    <t>Estimated</t>
  </si>
  <si>
    <t/>
  </si>
  <si>
    <t>4.16 kV</t>
  </si>
  <si>
    <t>Underground</t>
  </si>
  <si>
    <t>Network Supply</t>
  </si>
  <si>
    <t>208 V</t>
  </si>
  <si>
    <t>DER Type 1 [SOLAR]</t>
  </si>
  <si>
    <t>DER Type 2 [GAS]</t>
  </si>
  <si>
    <t>DER Type 3 [Solar with Storage]</t>
  </si>
  <si>
    <t>DER Type 4 [Energy Storage]</t>
  </si>
  <si>
    <t>Solar</t>
  </si>
  <si>
    <t>Gas</t>
  </si>
  <si>
    <t>Solar with Storage</t>
  </si>
  <si>
    <t>DER Type 3 [N/A]</t>
  </si>
  <si>
    <r>
      <t>Estimated Annual Energy Output of All</t>
    </r>
    <r>
      <rPr>
        <b/>
        <sz val="11"/>
        <color theme="1"/>
        <rFont val="Calibri"/>
        <family val="2"/>
        <scheme val="minor"/>
      </rPr>
      <t xml:space="preserve"> Facilities Interconnected on Feeder (in kWh)</t>
    </r>
  </si>
  <si>
    <r>
      <t>Estimated Annual Energy Output of Customer-Owned</t>
    </r>
    <r>
      <rPr>
        <b/>
        <sz val="11"/>
        <color theme="1"/>
        <rFont val="Calibri"/>
        <family val="2"/>
        <scheme val="minor"/>
      </rPr>
      <t xml:space="preserve"> Facilities Interconnected on Feeder (in kWh)</t>
    </r>
  </si>
  <si>
    <t>Tree/Limb Contact - Growth into Line 
Vehicle Accident</t>
  </si>
  <si>
    <t>Patrolled, Nothing Found
Squirrel</t>
  </si>
  <si>
    <t>Circuit did not supply customers during this timeframe</t>
  </si>
  <si>
    <t>Vehicle Accident
Patrolled, Nothing Found</t>
  </si>
  <si>
    <t>Equipment Failure Company
Bird</t>
  </si>
  <si>
    <t>Vehicle Accident
Tree/Limb - Broken Limb</t>
  </si>
  <si>
    <t>n/a</t>
  </si>
  <si>
    <t>Tree/Limb Contact - Broken Limb
Squirrel</t>
  </si>
  <si>
    <t>Squirrel
Tree/Limb Contract - Broken Limb</t>
  </si>
  <si>
    <t>20H22</t>
  </si>
  <si>
    <t>Tree/Limb Contact - Broken Limb
Action by Others</t>
  </si>
  <si>
    <t>20H24</t>
  </si>
  <si>
    <t>Equipment Failure Company
Action by Others</t>
  </si>
  <si>
    <t>Outage Statistics Part of 1W1</t>
  </si>
  <si>
    <t>Equipment Failure Company
Tree/Limb Contact - Broken Trunk</t>
  </si>
  <si>
    <t>Reference Newtork Below</t>
  </si>
  <si>
    <t>Equipment Faillure Company</t>
  </si>
  <si>
    <t>Supplies Unitil PV Site</t>
  </si>
  <si>
    <t>Action By Others
Equipment Failure Company</t>
  </si>
  <si>
    <t>Squirrel
Patrolled, Nothing Found</t>
  </si>
  <si>
    <t>Tree/Limb Contact - Broken Limb
Vehicle Accident</t>
  </si>
  <si>
    <t>Tree/Limb Contract - Broken Limb
Squirrel</t>
  </si>
  <si>
    <t>Tree/Limb Contact - Broken Limb
Tree/Limb Contact - Growth into Line</t>
  </si>
  <si>
    <t>Equipment Failure Compnay</t>
  </si>
  <si>
    <t>Equipment Failure Company
Patrolled, Nothing Found</t>
  </si>
  <si>
    <t>Equipment Failure Company
Loose/Failed Connection</t>
  </si>
  <si>
    <t>Circuit did not directly supply customers during this timeframe</t>
  </si>
  <si>
    <t>Squirrel
Equipment Failure Compnay</t>
  </si>
  <si>
    <t>Patrolled, Nothing Found</t>
  </si>
  <si>
    <t>Squirrel
Tree/Limb Contract - Uprooted Tree</t>
  </si>
  <si>
    <t># of Voltage Complaints, Plan Year (Unitil Note 1)</t>
  </si>
  <si>
    <t>Unitil Note 1:</t>
  </si>
  <si>
    <t>This includes all voltage complaints.  There were no voltage complaints identified that were associated with VVO implementation</t>
  </si>
  <si>
    <t>None</t>
  </si>
  <si>
    <t>DMS power flow functionality not yet deployed</t>
  </si>
  <si>
    <t>Unitil Note 1</t>
  </si>
  <si>
    <t xml:space="preserve">Unitil Note 1 - </t>
  </si>
  <si>
    <t>Unitil Note 1 - DERMs spending included in ADMS estimates</t>
  </si>
  <si>
    <t>Unitil Note 2 - Forecast TBD through RFP process</t>
  </si>
  <si>
    <t>Note 2</t>
  </si>
  <si>
    <t>TABLE 10a</t>
  </si>
  <si>
    <t xml:space="preserve">Environmental and Low Income Customer Information </t>
  </si>
  <si>
    <t>Company-provided data</t>
  </si>
  <si>
    <t>Section 1</t>
  </si>
  <si>
    <t>Section 2</t>
  </si>
  <si>
    <t>Section 3</t>
  </si>
  <si>
    <t>the number of EJ and LI customers, respectively, impacted by the Companies’ discrete investments (i.e., substation projects, VVO, line sensors, advanced distribution automation, and communications</t>
  </si>
  <si>
    <t xml:space="preserve">the percentages of EJ and LI customers, respectively, in relation to the total customer count impacted by the discrete investments identified (i.e., substation projects, VVO, line sensors, advanced distribution automation, and communications); </t>
  </si>
  <si>
    <t>the number of impacted LI customers who reside in an EJ population location</t>
  </si>
  <si>
    <t>Current Residential Customer Count</t>
  </si>
  <si>
    <t xml:space="preserve">Current EJ Customer Count (All) </t>
  </si>
  <si>
    <t>Current Residential EJ Customer Count</t>
  </si>
  <si>
    <t>Current LI Customer Count</t>
  </si>
  <si>
    <t>Count of LI customer residing in an EJC</t>
  </si>
  <si>
    <t>Feeder crosses EJC</t>
  </si>
  <si>
    <t>Feeder associated with discrete Grid Modernization investment</t>
  </si>
  <si>
    <t xml:space="preserve">Current residential EJ customer count impacted by discrete Grid Modernization investments </t>
  </si>
  <si>
    <t xml:space="preserve">Current LI customer count impacted by discrete Grid Modernization investments </t>
  </si>
  <si>
    <t>% of EJ customers impacted</t>
  </si>
  <si>
    <t>% of LI customers impacted</t>
  </si>
  <si>
    <t>Current count of LI customers residing in an EJ population location impacted by discrete Grid Modernization investments</t>
  </si>
  <si>
    <t>TABLE 10c</t>
  </si>
  <si>
    <t>TABLE 10b</t>
  </si>
  <si>
    <t>AMI to OMS integration project not placed into service in 2023.</t>
  </si>
  <si>
    <t>DMS power flow functionality placed into service for testing at the end of 2023</t>
  </si>
  <si>
    <t>DMS power flow Testing occurred througout 2023 - No voltage violations occurred during testing with DMS power flow / VVO enabled</t>
  </si>
  <si>
    <t>N/a</t>
  </si>
  <si>
    <t>Baseline</t>
  </si>
  <si>
    <t># Voltage Complaints 
Basel Iine</t>
  </si>
  <si>
    <t>Workforce Management - Mobile Damage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</si>
</sst>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00"/>
    <numFmt numFmtId="166" formatCode="_(* #,##0_);_(* \(#,##0\);_(* &quot;-&quot;??_);_(@_)"/>
    <numFmt numFmtId="167" formatCode="_(* #,##0.0_);_(* \(#,##0.0\);_(* &quot;-&quot;??_);_(@_)"/>
    <numFmt numFmtId="168" formatCode="#,##0.0"/>
    <numFmt numFmtId="169" formatCode="0.0"/>
    <numFmt numFmtId="170" formatCode="0.0%"/>
  </numFmts>
  <fonts count="27"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b/>
      <sz val="10"/>
      <color theme="1"/>
      <name val="Calibri"/>
      <family val="2"/>
      <scheme val="minor"/>
    </font>
    <font>
      <b/>
      <u/>
      <sz val="12"/>
      <color theme="1"/>
      <name val="Calibri"/>
      <family val="2"/>
      <scheme val="minor"/>
    </font>
    <font>
      <b/>
      <sz val="9"/>
      <color theme="1"/>
      <name val="Calibri"/>
      <family val="2"/>
      <scheme val="minor"/>
    </font>
    <font>
      <b/>
      <sz val="12"/>
      <color theme="1"/>
      <name val="Calibri"/>
      <family val="2"/>
      <scheme val="minor"/>
    </font>
    <font>
      <sz val="11"/>
      <color rgb="FFFF0000"/>
      <name val="Calibri"/>
      <family val="2"/>
      <scheme val="minor"/>
    </font>
    <font>
      <b/>
      <sz val="14"/>
      <color rgb="FF0000FF"/>
      <name val="Calibri"/>
      <family val="2"/>
      <scheme val="minor"/>
    </font>
    <font>
      <b/>
      <sz val="14"/>
      <color theme="1"/>
      <name val="Calibri"/>
      <family val="2"/>
      <scheme val="minor"/>
    </font>
    <font>
      <sz val="12"/>
      <color theme="1"/>
      <name val="Calibri"/>
      <family val="2"/>
      <scheme val="minor"/>
    </font>
    <font>
      <b/>
      <sz val="14"/>
      <color rgb="FFFF0000"/>
      <name val="Calibri"/>
      <family val="2"/>
      <scheme val="minor"/>
    </font>
    <font>
      <sz val="12"/>
      <color rgb="FF0000FF"/>
      <name val="Calibri"/>
      <family val="2"/>
      <scheme val="minor"/>
    </font>
    <font>
      <b/>
      <i/>
      <sz val="11"/>
      <color theme="1"/>
      <name val="Calibri"/>
      <family val="2"/>
      <scheme val="minor"/>
    </font>
    <font>
      <i/>
      <sz val="11"/>
      <color theme="1"/>
      <name val="Calibri"/>
      <family val="2"/>
      <scheme val="minor"/>
    </font>
    <font>
      <strike/>
      <sz val="11"/>
      <color theme="1"/>
      <name val="Calibri"/>
      <family val="2"/>
      <scheme val="minor"/>
    </font>
    <font>
      <sz val="11"/>
      <color theme="1"/>
      <name val="Calibri"/>
      <family val="2"/>
      <scheme val="minor"/>
    </font>
    <font>
      <b/>
      <sz val="10"/>
      <name val="Calibri"/>
      <family val="2"/>
      <scheme val="minor"/>
    </font>
    <font>
      <b/>
      <sz val="11"/>
      <name val="Calibri"/>
      <family val="2"/>
      <scheme val="minor"/>
    </font>
    <font>
      <sz val="11"/>
      <name val="Calibri"/>
      <family val="2"/>
      <scheme val="minor"/>
    </font>
    <font>
      <b/>
      <sz val="9"/>
      <color indexed="81"/>
      <name val="Tahoma"/>
      <family val="2"/>
    </font>
    <font>
      <sz val="9"/>
      <color indexed="81"/>
      <name val="Tahoma"/>
      <family val="2"/>
    </font>
    <font>
      <sz val="11"/>
      <color rgb="FF000000"/>
      <name val="Calibri"/>
      <family val="2"/>
      <scheme val="minor"/>
    </font>
    <font>
      <b/>
      <sz val="11"/>
      <color rgb="FF000000"/>
      <name val="Calibri"/>
      <family val="2"/>
      <scheme val="minor"/>
    </font>
    <font>
      <sz val="9"/>
      <color indexed="81"/>
      <name val="Tahoma"/>
      <charset val="1"/>
    </font>
    <font>
      <b/>
      <sz val="9"/>
      <color indexed="81"/>
      <name val="Tahoma"/>
      <charset val="1"/>
    </font>
  </fonts>
  <fills count="25">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CCFFFF"/>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0.249977111117893"/>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D6DCE4"/>
        <bgColor rgb="FF000000"/>
      </patternFill>
    </fill>
    <fill>
      <patternFill patternType="solid">
        <fgColor rgb="FFFFFF00"/>
        <bgColor rgb="FF000000"/>
      </patternFill>
    </fill>
    <fill>
      <patternFill patternType="solid">
        <fgColor rgb="FFE2EFDA"/>
        <bgColor rgb="FF000000"/>
      </patternFill>
    </fill>
    <fill>
      <patternFill patternType="solid">
        <fgColor rgb="FFBDD7EE"/>
        <bgColor rgb="FF000000"/>
      </patternFill>
    </fill>
    <fill>
      <patternFill patternType="solid">
        <fgColor rgb="FFFCE4D6"/>
        <bgColor rgb="FF000000"/>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s>
  <borders count="89">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
      <left/>
      <right style="thin">
        <color indexed="64"/>
      </right>
      <top/>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double">
        <color indexed="64"/>
      </top>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s>
  <cellStyleXfs count="3">
    <xf numFmtId="0" fontId="0" fillId="0" borderId="0"/>
    <xf numFmtId="9" fontId="17" fillId="0" borderId="0" applyFont="0" applyFill="0" applyBorder="0" applyAlignment="0" applyProtection="0"/>
    <xf numFmtId="43" fontId="17" fillId="0" borderId="0" applyFont="0" applyFill="0" applyBorder="0" applyAlignment="0" applyProtection="0"/>
  </cellStyleXfs>
  <cellXfs count="1024">
    <xf numFmtId="0" fontId="0" fillId="0" borderId="0" xfId="0"/>
    <xf numFmtId="0" fontId="2" fillId="0" borderId="0" xfId="0" applyFont="1"/>
    <xf numFmtId="0" fontId="1" fillId="0" borderId="0" xfId="0" applyFont="1"/>
    <xf numFmtId="0" fontId="0" fillId="0" borderId="0" xfId="0" applyAlignment="1">
      <alignment wrapText="1"/>
    </xf>
    <xf numFmtId="0" fontId="0" fillId="0" borderId="0" xfId="0" applyAlignment="1">
      <alignment horizontal="center" wrapText="1"/>
    </xf>
    <xf numFmtId="0" fontId="1" fillId="0" borderId="0" xfId="0" applyFont="1" applyAlignment="1">
      <alignment horizontal="center" wrapText="1"/>
    </xf>
    <xf numFmtId="0" fontId="0" fillId="0" borderId="0" xfId="0" applyAlignment="1">
      <alignment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9" xfId="0" applyBorder="1"/>
    <xf numFmtId="0" fontId="0" fillId="0" borderId="18" xfId="0" applyBorder="1" applyAlignment="1">
      <alignment horizontal="center" vertical="center" wrapText="1"/>
    </xf>
    <xf numFmtId="0" fontId="0" fillId="0" borderId="0" xfId="0" applyAlignment="1">
      <alignment vertical="center"/>
    </xf>
    <xf numFmtId="6" fontId="0" fillId="0" borderId="0" xfId="0" applyNumberFormat="1"/>
    <xf numFmtId="0" fontId="3" fillId="0" borderId="0" xfId="0" applyFont="1"/>
    <xf numFmtId="0" fontId="0" fillId="0" borderId="19"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46" xfId="0" applyBorder="1" applyAlignment="1">
      <alignment horizontal="center" vertical="center" wrapText="1"/>
    </xf>
    <xf numFmtId="0" fontId="0" fillId="0" borderId="50" xfId="0" applyBorder="1" applyAlignment="1">
      <alignment horizontal="center" vertical="center" wrapText="1"/>
    </xf>
    <xf numFmtId="0" fontId="0" fillId="0" borderId="54" xfId="0" applyBorder="1" applyAlignment="1">
      <alignment horizontal="center" vertical="center" wrapText="1"/>
    </xf>
    <xf numFmtId="0" fontId="0" fillId="0" borderId="51" xfId="0" applyBorder="1" applyAlignment="1">
      <alignment horizontal="center" vertical="center" wrapText="1"/>
    </xf>
    <xf numFmtId="0" fontId="0" fillId="0" borderId="24" xfId="0" applyBorder="1"/>
    <xf numFmtId="0" fontId="0" fillId="0" borderId="28" xfId="0" applyBorder="1" applyAlignment="1">
      <alignment horizontal="center"/>
    </xf>
    <xf numFmtId="0" fontId="12" fillId="0" borderId="0" xfId="0" applyFont="1" applyAlignment="1">
      <alignment horizontal="center"/>
    </xf>
    <xf numFmtId="0" fontId="10" fillId="0" borderId="0" xfId="0" applyFont="1" applyAlignment="1">
      <alignment horizontal="center"/>
    </xf>
    <xf numFmtId="0" fontId="13" fillId="0" borderId="0" xfId="0" applyFont="1" applyAlignment="1">
      <alignment wrapText="1"/>
    </xf>
    <xf numFmtId="0" fontId="8" fillId="0" borderId="0" xfId="0" applyFont="1" applyAlignment="1">
      <alignment wrapText="1"/>
    </xf>
    <xf numFmtId="0" fontId="1" fillId="2" borderId="27" xfId="0" applyFont="1" applyFill="1" applyBorder="1" applyAlignment="1">
      <alignment horizontal="center" vertical="center" wrapText="1"/>
    </xf>
    <xf numFmtId="0" fontId="6" fillId="7" borderId="23" xfId="0" applyFont="1" applyFill="1" applyBorder="1" applyAlignment="1">
      <alignment horizontal="center" vertical="center" wrapText="1"/>
    </xf>
    <xf numFmtId="0" fontId="6" fillId="7" borderId="40"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27"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47" xfId="0" applyBorder="1"/>
    <xf numFmtId="0" fontId="2" fillId="0" borderId="0" xfId="0" applyFont="1" applyAlignment="1">
      <alignment wrapText="1"/>
    </xf>
    <xf numFmtId="0" fontId="11" fillId="0" borderId="0" xfId="0" applyFont="1"/>
    <xf numFmtId="0" fontId="0" fillId="0" borderId="37" xfId="0" applyBorder="1" applyAlignment="1">
      <alignment horizontal="center"/>
    </xf>
    <xf numFmtId="0" fontId="1" fillId="0" borderId="60"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61" xfId="0" applyFont="1" applyBorder="1" applyAlignment="1">
      <alignment horizontal="center" vertical="center" wrapText="1"/>
    </xf>
    <xf numFmtId="0" fontId="0" fillId="6" borderId="58" xfId="0" applyFill="1" applyBorder="1" applyAlignment="1">
      <alignment horizontal="center" vertical="center"/>
    </xf>
    <xf numFmtId="0" fontId="0" fillId="6" borderId="54" xfId="0" applyFill="1" applyBorder="1" applyAlignment="1">
      <alignment horizontal="center" vertical="center"/>
    </xf>
    <xf numFmtId="0" fontId="0" fillId="6" borderId="64" xfId="0" applyFill="1" applyBorder="1" applyAlignment="1">
      <alignment horizontal="center" vertical="center"/>
    </xf>
    <xf numFmtId="0" fontId="0" fillId="9" borderId="1" xfId="0" applyFill="1" applyBorder="1" applyAlignment="1">
      <alignment wrapText="1"/>
    </xf>
    <xf numFmtId="0" fontId="0" fillId="9" borderId="1" xfId="0" applyFill="1" applyBorder="1"/>
    <xf numFmtId="0" fontId="0" fillId="9" borderId="9" xfId="0" applyFill="1" applyBorder="1" applyAlignment="1">
      <alignment horizontal="center" wrapText="1"/>
    </xf>
    <xf numFmtId="0" fontId="0" fillId="9" borderId="25" xfId="0" applyFill="1" applyBorder="1" applyAlignment="1">
      <alignment horizontal="center" vertical="center" wrapText="1"/>
    </xf>
    <xf numFmtId="0" fontId="0" fillId="9" borderId="12" xfId="0" applyFill="1" applyBorder="1"/>
    <xf numFmtId="0" fontId="0" fillId="0" borderId="42" xfId="0" applyBorder="1"/>
    <xf numFmtId="0" fontId="7" fillId="10" borderId="12"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55" xfId="0" applyFont="1" applyFill="1" applyBorder="1" applyAlignment="1">
      <alignment horizontal="center" vertical="center" wrapText="1"/>
    </xf>
    <xf numFmtId="0" fontId="1" fillId="0" borderId="0" xfId="0" applyFont="1" applyFill="1"/>
    <xf numFmtId="0" fontId="0" fillId="0" borderId="0" xfId="0" applyFill="1" applyAlignment="1">
      <alignment wrapText="1"/>
    </xf>
    <xf numFmtId="0" fontId="0" fillId="0" borderId="28" xfId="0" applyFill="1" applyBorder="1" applyAlignment="1">
      <alignment horizontal="center" vertical="center" wrapText="1"/>
    </xf>
    <xf numFmtId="0" fontId="2" fillId="0" borderId="0" xfId="0" applyFont="1" applyFill="1"/>
    <xf numFmtId="0" fontId="0" fillId="0" borderId="19" xfId="0" applyFill="1" applyBorder="1" applyAlignment="1">
      <alignment vertical="center" wrapText="1"/>
    </xf>
    <xf numFmtId="0" fontId="0" fillId="0" borderId="22" xfId="0" applyFill="1" applyBorder="1" applyAlignment="1">
      <alignment vertical="center" wrapText="1"/>
    </xf>
    <xf numFmtId="0" fontId="2" fillId="0" borderId="0" xfId="0" applyFont="1" applyFill="1" applyAlignment="1">
      <alignment wrapText="1"/>
    </xf>
    <xf numFmtId="0" fontId="1" fillId="0" borderId="0" xfId="0" applyFont="1" applyFill="1" applyAlignment="1">
      <alignment horizontal="center"/>
    </xf>
    <xf numFmtId="0" fontId="1" fillId="2" borderId="17" xfId="0" applyFont="1" applyFill="1" applyBorder="1" applyAlignment="1">
      <alignment horizontal="center" vertical="center" wrapText="1"/>
    </xf>
    <xf numFmtId="0" fontId="0" fillId="0" borderId="37" xfId="0" applyFill="1" applyBorder="1" applyAlignment="1">
      <alignment horizontal="center" vertical="center" wrapText="1"/>
    </xf>
    <xf numFmtId="0" fontId="0" fillId="0" borderId="19" xfId="0" applyFill="1" applyBorder="1" applyAlignment="1">
      <alignment horizontal="center" vertical="center" wrapText="1"/>
    </xf>
    <xf numFmtId="0" fontId="7" fillId="7" borderId="55"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0" fillId="0" borderId="54" xfId="0" applyFill="1" applyBorder="1" applyAlignment="1">
      <alignment horizontal="center" vertical="center" wrapText="1"/>
    </xf>
    <xf numFmtId="0" fontId="0" fillId="0" borderId="0" xfId="0" applyBorder="1"/>
    <xf numFmtId="0" fontId="0" fillId="0" borderId="0" xfId="0" applyFill="1" applyBorder="1" applyAlignment="1">
      <alignment vertical="center" wrapText="1"/>
    </xf>
    <xf numFmtId="0" fontId="0" fillId="0" borderId="0" xfId="0" applyFill="1"/>
    <xf numFmtId="0" fontId="1" fillId="4" borderId="69" xfId="0" applyFont="1" applyFill="1" applyBorder="1" applyAlignment="1">
      <alignment horizontal="center" vertical="center" wrapText="1"/>
    </xf>
    <xf numFmtId="0" fontId="0" fillId="9" borderId="14" xfId="0" applyFill="1" applyBorder="1" applyAlignment="1">
      <alignment wrapText="1"/>
    </xf>
    <xf numFmtId="0" fontId="7" fillId="10" borderId="62" xfId="0" applyFont="1" applyFill="1" applyBorder="1" applyAlignment="1">
      <alignment horizontal="center" vertical="center" wrapText="1"/>
    </xf>
    <xf numFmtId="0" fontId="1" fillId="11" borderId="35" xfId="0" applyFont="1" applyFill="1" applyBorder="1" applyAlignment="1">
      <alignment horizontal="center" vertical="center" wrapText="1"/>
    </xf>
    <xf numFmtId="0" fontId="1" fillId="11" borderId="69" xfId="0" applyFont="1" applyFill="1" applyBorder="1" applyAlignment="1">
      <alignment horizontal="center" vertical="center" wrapText="1"/>
    </xf>
    <xf numFmtId="0" fontId="0" fillId="9" borderId="11" xfId="0" applyFill="1" applyBorder="1" applyAlignment="1">
      <alignment horizontal="center"/>
    </xf>
    <xf numFmtId="0" fontId="0" fillId="9" borderId="14" xfId="0" applyFill="1" applyBorder="1"/>
    <xf numFmtId="0" fontId="0" fillId="9" borderId="11" xfId="0" applyFill="1" applyBorder="1"/>
    <xf numFmtId="0" fontId="16" fillId="0" borderId="0" xfId="0" applyFont="1" applyFill="1"/>
    <xf numFmtId="0" fontId="16" fillId="0" borderId="0" xfId="0" applyFont="1" applyFill="1" applyBorder="1" applyAlignment="1">
      <alignment vertical="center" wrapText="1"/>
    </xf>
    <xf numFmtId="0" fontId="16" fillId="0" borderId="0" xfId="0" applyFont="1" applyFill="1" applyAlignment="1">
      <alignment horizontal="left" vertical="center"/>
    </xf>
    <xf numFmtId="0" fontId="0" fillId="0" borderId="19" xfId="0" applyBorder="1" applyAlignment="1">
      <alignment horizontal="center"/>
    </xf>
    <xf numFmtId="0" fontId="0" fillId="9" borderId="12" xfId="0" applyFill="1" applyBorder="1" applyAlignment="1">
      <alignment horizontal="center"/>
    </xf>
    <xf numFmtId="0" fontId="1" fillId="2" borderId="61"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11" borderId="61"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11" borderId="60"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16" xfId="0" applyBorder="1" applyAlignment="1">
      <alignment horizontal="center" vertical="center" wrapText="1"/>
    </xf>
    <xf numFmtId="0" fontId="0" fillId="0" borderId="27" xfId="0" applyBorder="1" applyAlignment="1">
      <alignment horizontal="center"/>
    </xf>
    <xf numFmtId="0" fontId="0" fillId="0" borderId="24" xfId="0" applyBorder="1" applyAlignment="1">
      <alignment horizontal="center"/>
    </xf>
    <xf numFmtId="0" fontId="0" fillId="0" borderId="42" xfId="0" applyBorder="1" applyAlignment="1">
      <alignment horizontal="center"/>
    </xf>
    <xf numFmtId="0" fontId="16" fillId="0" borderId="37" xfId="0" applyFont="1" applyFill="1" applyBorder="1" applyAlignment="1">
      <alignment horizontal="center"/>
    </xf>
    <xf numFmtId="0" fontId="0" fillId="9" borderId="61" xfId="0" applyFill="1" applyBorder="1"/>
    <xf numFmtId="0" fontId="16" fillId="9" borderId="14" xfId="0" applyFont="1" applyFill="1" applyBorder="1" applyAlignment="1"/>
    <xf numFmtId="0" fontId="0" fillId="0" borderId="0" xfId="0" applyBorder="1" applyAlignment="1">
      <alignment vertical="center" wrapText="1"/>
    </xf>
    <xf numFmtId="0" fontId="1" fillId="11" borderId="73"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2" borderId="7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28" xfId="0" applyFill="1" applyBorder="1"/>
    <xf numFmtId="0" fontId="0" fillId="0" borderId="19" xfId="0" applyFill="1" applyBorder="1"/>
    <xf numFmtId="0" fontId="16" fillId="0" borderId="24" xfId="0" applyFont="1" applyFill="1" applyBorder="1" applyAlignment="1">
      <alignment horizontal="center"/>
    </xf>
    <xf numFmtId="0" fontId="16" fillId="0" borderId="42" xfId="0" applyFont="1" applyFill="1" applyBorder="1" applyAlignment="1">
      <alignment horizontal="center"/>
    </xf>
    <xf numFmtId="0" fontId="1" fillId="11" borderId="32" xfId="0" applyFont="1" applyFill="1" applyBorder="1" applyAlignment="1">
      <alignment horizontal="center" vertical="center" wrapText="1"/>
    </xf>
    <xf numFmtId="0" fontId="0" fillId="0" borderId="0" xfId="0" applyAlignment="1">
      <alignment horizontal="center"/>
    </xf>
    <xf numFmtId="0" fontId="0" fillId="0" borderId="0" xfId="0" applyBorder="1" applyAlignment="1">
      <alignment vertical="center"/>
    </xf>
    <xf numFmtId="0" fontId="0" fillId="0" borderId="0" xfId="0" applyFont="1" applyFill="1" applyBorder="1" applyAlignment="1">
      <alignment vertical="center"/>
    </xf>
    <xf numFmtId="0" fontId="0" fillId="0" borderId="0" xfId="0" applyFill="1" applyAlignment="1">
      <alignment horizontal="left" wrapText="1"/>
    </xf>
    <xf numFmtId="0" fontId="0" fillId="0" borderId="76" xfId="0" applyBorder="1"/>
    <xf numFmtId="0" fontId="0" fillId="0" borderId="75" xfId="0" applyBorder="1"/>
    <xf numFmtId="0" fontId="0" fillId="0" borderId="0" xfId="0" applyAlignment="1"/>
    <xf numFmtId="0" fontId="0" fillId="9" borderId="54" xfId="0" applyFill="1" applyBorder="1"/>
    <xf numFmtId="0" fontId="1" fillId="0" borderId="55" xfId="0" applyFont="1" applyBorder="1" applyAlignment="1">
      <alignment horizontal="center" vertical="center" wrapText="1"/>
    </xf>
    <xf numFmtId="0" fontId="1" fillId="8" borderId="55" xfId="0" applyFont="1" applyFill="1" applyBorder="1" applyAlignment="1">
      <alignment horizontal="center" vertical="center" wrapText="1"/>
    </xf>
    <xf numFmtId="0" fontId="0" fillId="9" borderId="53" xfId="0" applyFill="1" applyBorder="1"/>
    <xf numFmtId="0" fontId="4" fillId="6" borderId="11" xfId="0" applyFont="1" applyFill="1" applyBorder="1" applyAlignment="1">
      <alignment horizontal="center" vertical="center" wrapText="1"/>
    </xf>
    <xf numFmtId="0" fontId="1" fillId="0" borderId="62" xfId="0" applyFont="1" applyBorder="1" applyAlignment="1">
      <alignment horizontal="center" vertical="center" wrapText="1"/>
    </xf>
    <xf numFmtId="0" fontId="0" fillId="0" borderId="0" xfId="0"/>
    <xf numFmtId="0" fontId="0" fillId="0" borderId="0" xfId="0" applyAlignment="1">
      <alignment wrapText="1"/>
    </xf>
    <xf numFmtId="0" fontId="0" fillId="0" borderId="52" xfId="0" applyBorder="1"/>
    <xf numFmtId="0" fontId="0" fillId="0" borderId="28" xfId="0" applyBorder="1"/>
    <xf numFmtId="0" fontId="0" fillId="0" borderId="63" xfId="0" applyBorder="1"/>
    <xf numFmtId="0" fontId="0" fillId="0" borderId="28" xfId="0" applyBorder="1" applyAlignment="1">
      <alignment horizontal="center" vertical="center" wrapText="1"/>
    </xf>
    <xf numFmtId="0" fontId="0" fillId="0" borderId="38" xfId="0" applyBorder="1"/>
    <xf numFmtId="0" fontId="1" fillId="0" borderId="0" xfId="0" applyFont="1" applyAlignment="1">
      <alignment horizontal="center"/>
    </xf>
    <xf numFmtId="0" fontId="0" fillId="0" borderId="0" xfId="0" applyFont="1" applyBorder="1" applyAlignment="1">
      <alignment horizontal="left" vertical="center"/>
    </xf>
    <xf numFmtId="0" fontId="0" fillId="0" borderId="35" xfId="0" applyBorder="1" applyAlignment="1"/>
    <xf numFmtId="0" fontId="0" fillId="0" borderId="0" xfId="0" applyFont="1" applyBorder="1" applyAlignment="1">
      <alignment vertical="center"/>
    </xf>
    <xf numFmtId="0" fontId="0" fillId="0" borderId="35" xfId="0" applyFont="1" applyBorder="1" applyAlignment="1">
      <alignment vertical="center"/>
    </xf>
    <xf numFmtId="0" fontId="0" fillId="0" borderId="0" xfId="0" applyBorder="1" applyAlignment="1"/>
    <xf numFmtId="0" fontId="0" fillId="0" borderId="0" xfId="0" applyAlignment="1">
      <alignment horizontal="left" vertical="center"/>
    </xf>
    <xf numFmtId="0" fontId="0" fillId="9" borderId="14" xfId="0" applyFill="1" applyBorder="1" applyAlignment="1">
      <alignment horizontal="center"/>
    </xf>
    <xf numFmtId="0" fontId="8" fillId="0" borderId="0" xfId="0" applyFont="1"/>
    <xf numFmtId="0" fontId="14" fillId="0" borderId="0" xfId="0" applyFont="1" applyBorder="1" applyAlignment="1">
      <alignment horizontal="center"/>
    </xf>
    <xf numFmtId="0" fontId="0" fillId="9" borderId="1" xfId="0" applyFill="1" applyBorder="1" applyAlignment="1">
      <alignment horizontal="center" wrapText="1"/>
    </xf>
    <xf numFmtId="0" fontId="0" fillId="13" borderId="0" xfId="0" applyFill="1" applyBorder="1" applyAlignment="1">
      <alignment horizontal="left" vertical="center" wrapText="1"/>
    </xf>
    <xf numFmtId="0" fontId="0" fillId="13" borderId="0" xfId="0" applyFill="1" applyBorder="1" applyAlignment="1">
      <alignment vertical="center" wrapText="1"/>
    </xf>
    <xf numFmtId="0" fontId="0" fillId="13" borderId="35" xfId="0" applyFill="1" applyBorder="1" applyAlignment="1">
      <alignment vertical="center" wrapText="1"/>
    </xf>
    <xf numFmtId="0" fontId="0" fillId="13" borderId="49" xfId="0" applyFill="1" applyBorder="1" applyAlignment="1">
      <alignment vertical="center" wrapText="1"/>
    </xf>
    <xf numFmtId="0" fontId="0" fillId="13" borderId="48" xfId="0" applyFill="1" applyBorder="1" applyAlignment="1">
      <alignment vertical="center" wrapText="1"/>
    </xf>
    <xf numFmtId="0" fontId="0" fillId="13" borderId="43" xfId="0" applyFill="1" applyBorder="1" applyAlignment="1">
      <alignment wrapText="1"/>
    </xf>
    <xf numFmtId="0" fontId="0" fillId="13" borderId="47" xfId="0" applyFill="1" applyBorder="1" applyAlignment="1">
      <alignment wrapText="1"/>
    </xf>
    <xf numFmtId="0" fontId="0" fillId="0" borderId="0" xfId="0" applyFill="1" applyBorder="1" applyAlignment="1">
      <alignment wrapText="1"/>
    </xf>
    <xf numFmtId="0" fontId="1" fillId="5" borderId="25" xfId="0" applyFont="1" applyFill="1" applyBorder="1" applyAlignment="1">
      <alignment horizontal="center" vertical="center" wrapText="1"/>
    </xf>
    <xf numFmtId="0" fontId="2" fillId="13" borderId="59" xfId="0" applyFont="1" applyFill="1" applyBorder="1"/>
    <xf numFmtId="0" fontId="2" fillId="13" borderId="43" xfId="0" applyFont="1" applyFill="1" applyBorder="1"/>
    <xf numFmtId="0" fontId="0" fillId="13" borderId="43" xfId="0" applyFill="1" applyBorder="1"/>
    <xf numFmtId="0" fontId="0" fillId="13" borderId="47" xfId="0" applyFill="1" applyBorder="1"/>
    <xf numFmtId="0" fontId="2" fillId="13" borderId="39" xfId="0" applyFont="1" applyFill="1" applyBorder="1"/>
    <xf numFmtId="0" fontId="2" fillId="13" borderId="0" xfId="0" applyFont="1" applyFill="1" applyBorder="1"/>
    <xf numFmtId="0" fontId="0" fillId="13" borderId="35" xfId="0" applyFill="1" applyBorder="1"/>
    <xf numFmtId="0" fontId="2" fillId="13" borderId="39" xfId="0" applyFont="1" applyFill="1" applyBorder="1" applyAlignment="1">
      <alignment horizontal="left" vertical="center"/>
    </xf>
    <xf numFmtId="0" fontId="0" fillId="13" borderId="0" xfId="0" applyFill="1" applyBorder="1"/>
    <xf numFmtId="0" fontId="0" fillId="13" borderId="0" xfId="0" applyFill="1" applyBorder="1" applyAlignment="1">
      <alignment horizontal="left" vertical="center"/>
    </xf>
    <xf numFmtId="0" fontId="0" fillId="13" borderId="0" xfId="0" applyFill="1" applyBorder="1" applyAlignment="1">
      <alignment vertical="center"/>
    </xf>
    <xf numFmtId="0" fontId="0" fillId="13" borderId="0" xfId="0" applyFont="1" applyFill="1" applyBorder="1" applyAlignment="1">
      <alignment vertical="center" wrapText="1"/>
    </xf>
    <xf numFmtId="0" fontId="0" fillId="13" borderId="0" xfId="0" applyFont="1" applyFill="1" applyBorder="1" applyAlignment="1">
      <alignment vertical="center"/>
    </xf>
    <xf numFmtId="0" fontId="0" fillId="13" borderId="0" xfId="0" applyFill="1" applyBorder="1" applyAlignment="1">
      <alignment horizontal="left" vertical="center" indent="1"/>
    </xf>
    <xf numFmtId="0" fontId="0" fillId="13" borderId="39" xfId="0" applyFill="1" applyBorder="1" applyAlignment="1">
      <alignment horizontal="left" vertical="center" indent="1"/>
    </xf>
    <xf numFmtId="0" fontId="0" fillId="13" borderId="35" xfId="0" applyFill="1" applyBorder="1" applyAlignment="1">
      <alignment horizontal="left" vertical="center"/>
    </xf>
    <xf numFmtId="0" fontId="0" fillId="13" borderId="39" xfId="0" applyFont="1" applyFill="1" applyBorder="1" applyAlignment="1">
      <alignment horizontal="left" vertical="center" indent="1"/>
    </xf>
    <xf numFmtId="0" fontId="0" fillId="13" borderId="41" xfId="0" applyFill="1" applyBorder="1" applyAlignment="1">
      <alignment horizontal="left" vertical="center" indent="1"/>
    </xf>
    <xf numFmtId="0" fontId="0" fillId="13" borderId="49" xfId="0" applyFill="1" applyBorder="1"/>
    <xf numFmtId="0" fontId="0" fillId="13" borderId="48" xfId="0" applyFill="1" applyBorder="1"/>
    <xf numFmtId="0" fontId="0" fillId="0" borderId="0" xfId="0" applyFill="1" applyBorder="1" applyAlignment="1">
      <alignment vertical="center"/>
    </xf>
    <xf numFmtId="0" fontId="0" fillId="13" borderId="49" xfId="0" applyFill="1" applyBorder="1" applyAlignment="1">
      <alignment vertical="center"/>
    </xf>
    <xf numFmtId="0" fontId="0" fillId="13" borderId="59" xfId="0" applyFill="1" applyBorder="1" applyAlignment="1">
      <alignment horizontal="left" vertical="center" indent="1"/>
    </xf>
    <xf numFmtId="0" fontId="0" fillId="13" borderId="43" xfId="0" applyFill="1" applyBorder="1" applyAlignment="1">
      <alignment horizontal="left" vertical="center" indent="1"/>
    </xf>
    <xf numFmtId="0" fontId="0" fillId="13" borderId="43" xfId="0" applyFill="1" applyBorder="1" applyAlignment="1">
      <alignment horizontal="left" indent="1"/>
    </xf>
    <xf numFmtId="0" fontId="0" fillId="13" borderId="47" xfId="0" applyFill="1" applyBorder="1" applyAlignment="1">
      <alignment horizontal="left" indent="1"/>
    </xf>
    <xf numFmtId="0" fontId="0" fillId="13" borderId="0" xfId="0" applyFill="1" applyBorder="1" applyAlignment="1">
      <alignment horizontal="left" indent="1"/>
    </xf>
    <xf numFmtId="0" fontId="0" fillId="13" borderId="35" xfId="0" applyFill="1" applyBorder="1" applyAlignment="1">
      <alignment horizontal="left" indent="1"/>
    </xf>
    <xf numFmtId="0" fontId="0" fillId="13" borderId="49" xfId="0" applyFill="1" applyBorder="1" applyAlignment="1">
      <alignment horizontal="left" vertical="center" indent="1"/>
    </xf>
    <xf numFmtId="0" fontId="0" fillId="13" borderId="49" xfId="0" applyFill="1" applyBorder="1" applyAlignment="1">
      <alignment horizontal="left" indent="1"/>
    </xf>
    <xf numFmtId="0" fontId="0" fillId="13" borderId="48" xfId="0" applyFill="1" applyBorder="1" applyAlignment="1">
      <alignment horizontal="left" indent="1"/>
    </xf>
    <xf numFmtId="0" fontId="0" fillId="13" borderId="59" xfId="0" applyFill="1" applyBorder="1" applyAlignment="1"/>
    <xf numFmtId="0" fontId="0" fillId="13" borderId="43" xfId="0" applyFill="1" applyBorder="1" applyAlignment="1"/>
    <xf numFmtId="0" fontId="0" fillId="13" borderId="47" xfId="0" applyFill="1" applyBorder="1" applyAlignment="1"/>
    <xf numFmtId="0" fontId="0" fillId="13" borderId="0" xfId="0" applyFill="1" applyBorder="1" applyAlignment="1">
      <alignment horizontal="left"/>
    </xf>
    <xf numFmtId="0" fontId="0" fillId="13" borderId="0" xfId="0" applyFill="1" applyBorder="1" applyAlignment="1"/>
    <xf numFmtId="0" fontId="0" fillId="13" borderId="35" xfId="0" applyFill="1" applyBorder="1" applyAlignment="1">
      <alignment vertical="center"/>
    </xf>
    <xf numFmtId="0" fontId="1" fillId="13" borderId="0" xfId="0" applyFont="1" applyFill="1" applyBorder="1" applyAlignment="1"/>
    <xf numFmtId="0" fontId="0" fillId="13" borderId="49" xfId="0" applyFill="1" applyBorder="1" applyAlignment="1"/>
    <xf numFmtId="0" fontId="0" fillId="13" borderId="48" xfId="0" applyFill="1" applyBorder="1" applyAlignment="1">
      <alignment vertical="center"/>
    </xf>
    <xf numFmtId="0" fontId="4" fillId="0" borderId="0" xfId="0" applyFont="1" applyFill="1" applyBorder="1" applyAlignment="1">
      <alignment vertical="center" wrapText="1"/>
    </xf>
    <xf numFmtId="0" fontId="1" fillId="0" borderId="22" xfId="0" applyFont="1" applyBorder="1" applyAlignment="1">
      <alignment horizontal="center" vertical="center" wrapText="1"/>
    </xf>
    <xf numFmtId="0" fontId="14" fillId="0" borderId="0" xfId="0" applyFont="1" applyAlignment="1">
      <alignment horizontal="center" vertical="center"/>
    </xf>
    <xf numFmtId="0" fontId="0" fillId="0" borderId="0" xfId="0" applyAlignment="1">
      <alignment horizontal="left" indent="1"/>
    </xf>
    <xf numFmtId="0" fontId="0" fillId="13" borderId="59" xfId="0" applyFont="1" applyFill="1" applyBorder="1" applyAlignment="1">
      <alignment horizontal="left" indent="1"/>
    </xf>
    <xf numFmtId="0" fontId="0" fillId="0" borderId="75" xfId="0" applyBorder="1" applyAlignment="1">
      <alignment horizontal="center" vertical="center" wrapText="1"/>
    </xf>
    <xf numFmtId="0" fontId="0" fillId="0" borderId="74" xfId="0" applyBorder="1" applyAlignment="1">
      <alignment horizontal="center" vertical="center" wrapText="1"/>
    </xf>
    <xf numFmtId="0" fontId="1" fillId="2" borderId="40" xfId="0" applyFont="1" applyFill="1" applyBorder="1" applyAlignment="1">
      <alignment horizontal="center" vertical="center" wrapText="1"/>
    </xf>
    <xf numFmtId="0" fontId="0" fillId="0" borderId="51" xfId="0" applyFill="1" applyBorder="1" applyAlignment="1">
      <alignment horizontal="center" vertical="center" wrapText="1"/>
    </xf>
    <xf numFmtId="3" fontId="0" fillId="0" borderId="60" xfId="0" applyNumberFormat="1" applyBorder="1" applyAlignment="1">
      <alignment horizontal="center" vertical="center" wrapText="1"/>
    </xf>
    <xf numFmtId="3" fontId="0" fillId="0" borderId="61" xfId="0" applyNumberFormat="1" applyBorder="1" applyAlignment="1">
      <alignment horizontal="center" vertical="center" wrapText="1"/>
    </xf>
    <xf numFmtId="3" fontId="0" fillId="0" borderId="25" xfId="0" applyNumberFormat="1" applyBorder="1" applyAlignment="1">
      <alignment horizontal="center" vertical="center" wrapText="1"/>
    </xf>
    <xf numFmtId="3" fontId="0" fillId="0" borderId="55" xfId="0" applyNumberFormat="1" applyBorder="1" applyAlignment="1">
      <alignment horizontal="center" vertical="center" wrapText="1"/>
    </xf>
    <xf numFmtId="0" fontId="0" fillId="0" borderId="38"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37" xfId="0" applyFill="1" applyBorder="1" applyAlignment="1">
      <alignment horizontal="center" vertical="center"/>
    </xf>
    <xf numFmtId="0" fontId="0" fillId="0" borderId="51" xfId="0" applyFill="1" applyBorder="1" applyAlignment="1">
      <alignment horizontal="center" vertical="center"/>
    </xf>
    <xf numFmtId="0" fontId="0" fillId="0" borderId="54" xfId="0" applyFill="1" applyBorder="1" applyAlignment="1">
      <alignment horizontal="center" vertical="center"/>
    </xf>
    <xf numFmtId="0" fontId="0" fillId="0" borderId="18" xfId="0" applyFill="1" applyBorder="1" applyAlignment="1">
      <alignment horizontal="center" vertical="center"/>
    </xf>
    <xf numFmtId="0" fontId="0" fillId="0" borderId="29"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76" xfId="0" applyFill="1" applyBorder="1" applyAlignment="1">
      <alignment horizontal="center" vertical="center" wrapText="1"/>
    </xf>
    <xf numFmtId="0" fontId="0" fillId="0" borderId="75" xfId="0" applyFill="1" applyBorder="1" applyAlignment="1">
      <alignment horizontal="center" vertical="center" wrapText="1"/>
    </xf>
    <xf numFmtId="0" fontId="0" fillId="0" borderId="74" xfId="0" applyFill="1" applyBorder="1" applyAlignment="1">
      <alignment horizontal="center" vertical="center" wrapText="1"/>
    </xf>
    <xf numFmtId="0" fontId="0" fillId="0" borderId="76" xfId="0" applyFill="1" applyBorder="1" applyAlignment="1">
      <alignment horizontal="center" vertical="center"/>
    </xf>
    <xf numFmtId="0" fontId="0" fillId="0" borderId="74" xfId="0" applyFill="1" applyBorder="1" applyAlignment="1">
      <alignment horizontal="center" vertical="center"/>
    </xf>
    <xf numFmtId="0" fontId="0" fillId="0" borderId="68" xfId="0" applyFill="1" applyBorder="1" applyAlignment="1">
      <alignment horizontal="center" vertical="center"/>
    </xf>
    <xf numFmtId="0" fontId="2" fillId="13" borderId="43" xfId="0" applyFont="1" applyFill="1" applyBorder="1" applyAlignment="1">
      <alignment wrapText="1"/>
    </xf>
    <xf numFmtId="0" fontId="0" fillId="0" borderId="0" xfId="0" applyFill="1" applyBorder="1"/>
    <xf numFmtId="0" fontId="14" fillId="5" borderId="60"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0" fillId="0" borderId="38" xfId="0" applyBorder="1" applyAlignment="1">
      <alignment horizontal="center"/>
    </xf>
    <xf numFmtId="0" fontId="1" fillId="12" borderId="70" xfId="0" applyFont="1" applyFill="1" applyBorder="1" applyAlignment="1">
      <alignment horizontal="center" vertical="center" wrapText="1"/>
    </xf>
    <xf numFmtId="0" fontId="1" fillId="12" borderId="69" xfId="0" applyFont="1" applyFill="1" applyBorder="1" applyAlignment="1">
      <alignment horizontal="center" vertical="center" wrapText="1"/>
    </xf>
    <xf numFmtId="0" fontId="1" fillId="12" borderId="39" xfId="0" applyFont="1" applyFill="1" applyBorder="1" applyAlignment="1">
      <alignment horizontal="center" vertical="center" wrapText="1"/>
    </xf>
    <xf numFmtId="0" fontId="1" fillId="12" borderId="71" xfId="0" applyFont="1" applyFill="1" applyBorder="1" applyAlignment="1">
      <alignment horizontal="center" vertical="center" wrapText="1"/>
    </xf>
    <xf numFmtId="0" fontId="0" fillId="0" borderId="23" xfId="0" applyBorder="1" applyAlignment="1">
      <alignment vertical="center" wrapText="1"/>
    </xf>
    <xf numFmtId="0" fontId="0" fillId="0" borderId="36" xfId="0" applyBorder="1" applyAlignment="1">
      <alignment vertical="center" wrapText="1"/>
    </xf>
    <xf numFmtId="0" fontId="0" fillId="0" borderId="26" xfId="0" applyBorder="1" applyAlignment="1">
      <alignment vertical="center" wrapText="1"/>
    </xf>
    <xf numFmtId="0" fontId="0" fillId="0" borderId="0" xfId="0" applyFill="1" applyBorder="1" applyAlignment="1"/>
    <xf numFmtId="0" fontId="7" fillId="0" borderId="0" xfId="0" applyFont="1" applyFill="1" applyBorder="1" applyAlignment="1">
      <alignment vertical="center" wrapText="1"/>
    </xf>
    <xf numFmtId="0" fontId="0" fillId="0" borderId="60" xfId="0" applyBorder="1" applyAlignment="1">
      <alignment horizontal="center" vertical="center" wrapText="1"/>
    </xf>
    <xf numFmtId="0" fontId="1" fillId="11" borderId="65"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0" fillId="0" borderId="15" xfId="0" applyBorder="1" applyAlignment="1">
      <alignment horizontal="center"/>
    </xf>
    <xf numFmtId="0" fontId="0" fillId="0" borderId="16" xfId="0" applyBorder="1" applyAlignment="1">
      <alignment horizontal="center"/>
    </xf>
    <xf numFmtId="0" fontId="0" fillId="0" borderId="11" xfId="0" applyBorder="1" applyAlignment="1">
      <alignment vertical="center" wrapText="1"/>
    </xf>
    <xf numFmtId="0" fontId="0" fillId="0" borderId="58" xfId="0" applyBorder="1" applyAlignment="1">
      <alignment horizontal="center"/>
    </xf>
    <xf numFmtId="0" fontId="0" fillId="0" borderId="54" xfId="0" applyBorder="1" applyAlignment="1">
      <alignment horizontal="center"/>
    </xf>
    <xf numFmtId="0" fontId="0" fillId="0" borderId="59" xfId="0" applyBorder="1"/>
    <xf numFmtId="0" fontId="1" fillId="2" borderId="4" xfId="0" applyFont="1" applyFill="1" applyBorder="1" applyAlignment="1">
      <alignment vertical="center"/>
    </xf>
    <xf numFmtId="0" fontId="1" fillId="2" borderId="5" xfId="0" applyFont="1" applyFill="1" applyBorder="1" applyAlignment="1">
      <alignment vertical="center"/>
    </xf>
    <xf numFmtId="0" fontId="0" fillId="0" borderId="48" xfId="0" applyBorder="1" applyAlignment="1">
      <alignment horizontal="center" vertical="center" wrapText="1"/>
    </xf>
    <xf numFmtId="0" fontId="1" fillId="4" borderId="62" xfId="0" applyFont="1" applyFill="1" applyBorder="1" applyAlignment="1">
      <alignment horizontal="center" vertical="center" wrapText="1"/>
    </xf>
    <xf numFmtId="0" fontId="1" fillId="4" borderId="61" xfId="0" applyFont="1" applyFill="1" applyBorder="1" applyAlignment="1">
      <alignment horizontal="center" vertical="center" wrapText="1"/>
    </xf>
    <xf numFmtId="0" fontId="1" fillId="3" borderId="60"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0" fillId="0" borderId="0" xfId="0" applyFont="1" applyFill="1" applyBorder="1" applyAlignment="1">
      <alignment horizontal="left"/>
    </xf>
    <xf numFmtId="3" fontId="0" fillId="0" borderId="21" xfId="0" applyNumberFormat="1" applyBorder="1" applyAlignment="1">
      <alignment horizontal="center" vertical="center"/>
    </xf>
    <xf numFmtId="0" fontId="0" fillId="0" borderId="40" xfId="0" applyBorder="1" applyAlignment="1">
      <alignment horizontal="center" vertical="center" wrapText="1"/>
    </xf>
    <xf numFmtId="0" fontId="1" fillId="0" borderId="28" xfId="0" applyFont="1" applyBorder="1" applyAlignment="1">
      <alignment horizontal="center" vertical="center" wrapText="1"/>
    </xf>
    <xf numFmtId="0" fontId="1" fillId="4" borderId="70" xfId="0" applyFont="1" applyFill="1" applyBorder="1" applyAlignment="1">
      <alignment horizontal="center" vertical="center" wrapText="1"/>
    </xf>
    <xf numFmtId="0" fontId="0" fillId="9" borderId="10" xfId="0" applyFill="1" applyBorder="1" applyAlignment="1">
      <alignment wrapText="1"/>
    </xf>
    <xf numFmtId="0" fontId="1" fillId="4" borderId="39" xfId="0" applyFont="1" applyFill="1" applyBorder="1" applyAlignment="1">
      <alignment horizontal="center" vertical="center" wrapText="1"/>
    </xf>
    <xf numFmtId="0" fontId="2" fillId="0" borderId="0" xfId="0" applyFont="1" applyBorder="1"/>
    <xf numFmtId="3" fontId="0" fillId="0" borderId="9" xfId="0" applyNumberFormat="1" applyBorder="1" applyAlignment="1">
      <alignment horizontal="center" vertical="center" wrapText="1"/>
    </xf>
    <xf numFmtId="3" fontId="0" fillId="0" borderId="8" xfId="0" applyNumberFormat="1" applyBorder="1" applyAlignment="1">
      <alignment horizontal="center" vertical="center" wrapText="1"/>
    </xf>
    <xf numFmtId="0" fontId="0" fillId="0" borderId="53" xfId="0" applyBorder="1" applyAlignment="1">
      <alignment horizontal="center"/>
    </xf>
    <xf numFmtId="3" fontId="0" fillId="0" borderId="26" xfId="0" applyNumberFormat="1" applyBorder="1" applyAlignment="1">
      <alignment horizontal="center" vertical="center"/>
    </xf>
    <xf numFmtId="0" fontId="0" fillId="0" borderId="79" xfId="0" applyBorder="1" applyAlignment="1">
      <alignment horizontal="center" vertical="center" wrapText="1"/>
    </xf>
    <xf numFmtId="0" fontId="0" fillId="9" borderId="11" xfId="0" applyFill="1" applyBorder="1" applyAlignment="1">
      <alignment wrapText="1"/>
    </xf>
    <xf numFmtId="0" fontId="0" fillId="9" borderId="12" xfId="0" applyFill="1" applyBorder="1" applyAlignment="1">
      <alignment wrapText="1"/>
    </xf>
    <xf numFmtId="0" fontId="11" fillId="0" borderId="55" xfId="0" applyFont="1" applyBorder="1" applyAlignment="1">
      <alignment horizontal="center" vertical="center" wrapText="1"/>
    </xf>
    <xf numFmtId="0" fontId="0" fillId="9" borderId="68" xfId="0" applyFill="1" applyBorder="1"/>
    <xf numFmtId="0" fontId="1" fillId="0" borderId="0" xfId="0" applyFont="1" applyFill="1" applyBorder="1" applyAlignment="1">
      <alignment horizontal="center"/>
    </xf>
    <xf numFmtId="0" fontId="1" fillId="0" borderId="28" xfId="0" applyFont="1" applyFill="1" applyBorder="1" applyAlignment="1">
      <alignment horizontal="center"/>
    </xf>
    <xf numFmtId="0" fontId="1" fillId="0" borderId="0" xfId="0" applyFont="1" applyBorder="1" applyAlignment="1">
      <alignment wrapText="1"/>
    </xf>
    <xf numFmtId="0" fontId="1" fillId="0" borderId="7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44" fontId="0" fillId="0" borderId="27" xfId="0" applyNumberFormat="1" applyFont="1" applyBorder="1" applyAlignment="1">
      <alignment horizontal="center" vertical="center"/>
    </xf>
    <xf numFmtId="44" fontId="0" fillId="0" borderId="16" xfId="0" applyNumberFormat="1" applyFont="1" applyBorder="1" applyAlignment="1">
      <alignment horizontal="center" vertical="center"/>
    </xf>
    <xf numFmtId="3" fontId="0" fillId="0" borderId="15" xfId="0" applyNumberFormat="1" applyFont="1" applyBorder="1" applyAlignment="1">
      <alignment horizontal="center" vertical="center"/>
    </xf>
    <xf numFmtId="3" fontId="0" fillId="0" borderId="37" xfId="0" applyNumberFormat="1" applyFont="1" applyBorder="1" applyAlignment="1">
      <alignment horizontal="center" vertical="center"/>
    </xf>
    <xf numFmtId="44" fontId="0" fillId="0" borderId="28" xfId="0" applyNumberFormat="1" applyFont="1" applyBorder="1" applyAlignment="1">
      <alignment horizontal="center" vertical="center"/>
    </xf>
    <xf numFmtId="44" fontId="0" fillId="0" borderId="18" xfId="0" applyNumberFormat="1" applyFont="1" applyBorder="1" applyAlignment="1">
      <alignment horizontal="center" vertical="center"/>
    </xf>
    <xf numFmtId="3" fontId="0" fillId="0" borderId="60" xfId="0" applyNumberFormat="1" applyBorder="1" applyAlignment="1">
      <alignment horizontal="center" vertical="center"/>
    </xf>
    <xf numFmtId="44" fontId="0" fillId="0" borderId="61" xfId="0" applyNumberFormat="1" applyBorder="1" applyAlignment="1">
      <alignment horizontal="center" vertical="center"/>
    </xf>
    <xf numFmtId="44" fontId="0" fillId="0" borderId="25" xfId="0" applyNumberFormat="1" applyBorder="1" applyAlignment="1">
      <alignment horizontal="center" vertical="center"/>
    </xf>
    <xf numFmtId="0" fontId="0" fillId="0" borderId="37" xfId="0" applyFont="1" applyBorder="1" applyAlignment="1">
      <alignment horizontal="center" vertical="center"/>
    </xf>
    <xf numFmtId="44" fontId="0" fillId="0" borderId="61" xfId="0" applyNumberFormat="1" applyFont="1" applyBorder="1" applyAlignment="1">
      <alignment horizontal="center" vertical="center"/>
    </xf>
    <xf numFmtId="44" fontId="0" fillId="0" borderId="25" xfId="0" applyNumberFormat="1" applyFont="1" applyBorder="1" applyAlignment="1">
      <alignment horizontal="center" vertical="center"/>
    </xf>
    <xf numFmtId="0" fontId="0" fillId="14" borderId="11" xfId="0" applyFill="1" applyBorder="1" applyAlignment="1">
      <alignment horizontal="center" vertical="center"/>
    </xf>
    <xf numFmtId="0" fontId="0" fillId="14" borderId="14" xfId="0" applyFill="1" applyBorder="1" applyAlignment="1">
      <alignment horizontal="center" vertical="center"/>
    </xf>
    <xf numFmtId="0" fontId="0" fillId="14" borderId="12" xfId="0" applyFill="1" applyBorder="1" applyAlignment="1">
      <alignment horizontal="center" vertical="center"/>
    </xf>
    <xf numFmtId="3" fontId="0" fillId="0" borderId="58" xfId="0" applyNumberFormat="1" applyBorder="1" applyAlignment="1">
      <alignment horizontal="center" vertical="center" wrapText="1"/>
    </xf>
    <xf numFmtId="3" fontId="0" fillId="0" borderId="58" xfId="0" applyNumberFormat="1" applyBorder="1" applyAlignment="1">
      <alignment vertical="center" wrapText="1"/>
    </xf>
    <xf numFmtId="3" fontId="0" fillId="0" borderId="54" xfId="0" applyNumberFormat="1" applyBorder="1" applyAlignment="1">
      <alignment horizontal="center" vertical="center" wrapText="1"/>
    </xf>
    <xf numFmtId="3" fontId="0" fillId="0" borderId="54" xfId="0" applyNumberFormat="1" applyBorder="1" applyAlignment="1">
      <alignment vertical="center" wrapText="1"/>
    </xf>
    <xf numFmtId="3" fontId="0" fillId="0" borderId="46" xfId="0" applyNumberFormat="1" applyBorder="1" applyAlignment="1">
      <alignment horizontal="center" vertical="center" wrapText="1"/>
    </xf>
    <xf numFmtId="3" fontId="0" fillId="0" borderId="46" xfId="0" applyNumberFormat="1" applyBorder="1" applyAlignment="1">
      <alignment wrapText="1"/>
    </xf>
    <xf numFmtId="0" fontId="0" fillId="0" borderId="7" xfId="0" applyBorder="1" applyAlignment="1">
      <alignment horizontal="center" vertical="center" wrapText="1"/>
    </xf>
    <xf numFmtId="3" fontId="0" fillId="0" borderId="8" xfId="0" applyNumberFormat="1" applyBorder="1" applyAlignment="1">
      <alignment horizontal="center" vertical="center"/>
    </xf>
    <xf numFmtId="3" fontId="0" fillId="0" borderId="16" xfId="0" applyNumberFormat="1" applyBorder="1"/>
    <xf numFmtId="3" fontId="0" fillId="0" borderId="18" xfId="0" applyNumberFormat="1" applyBorder="1"/>
    <xf numFmtId="3" fontId="0" fillId="0" borderId="16" xfId="0" applyNumberFormat="1" applyBorder="1" applyAlignment="1">
      <alignment horizontal="center" vertical="center"/>
    </xf>
    <xf numFmtId="3" fontId="0" fillId="0" borderId="18" xfId="0" applyNumberFormat="1" applyBorder="1" applyAlignment="1">
      <alignment horizontal="center" vertical="center"/>
    </xf>
    <xf numFmtId="3" fontId="0" fillId="0" borderId="57" xfId="0" applyNumberFormat="1" applyBorder="1" applyAlignment="1">
      <alignment horizontal="center" vertical="center"/>
    </xf>
    <xf numFmtId="3" fontId="0" fillId="0" borderId="15" xfId="0" applyNumberFormat="1" applyBorder="1" applyAlignment="1">
      <alignment horizontal="center" vertical="center" wrapText="1"/>
    </xf>
    <xf numFmtId="3" fontId="0" fillId="0" borderId="27" xfId="0" applyNumberFormat="1" applyBorder="1" applyAlignment="1">
      <alignment horizontal="center" vertical="center" wrapText="1"/>
    </xf>
    <xf numFmtId="3" fontId="0" fillId="0" borderId="27" xfId="0" applyNumberFormat="1" applyBorder="1" applyAlignment="1">
      <alignment horizontal="center"/>
    </xf>
    <xf numFmtId="3" fontId="0" fillId="0" borderId="37" xfId="0" applyNumberFormat="1" applyBorder="1" applyAlignment="1">
      <alignment horizontal="center" vertical="center" wrapText="1"/>
    </xf>
    <xf numFmtId="3" fontId="0" fillId="0" borderId="28" xfId="0" applyNumberFormat="1" applyBorder="1" applyAlignment="1">
      <alignment horizontal="center" vertical="center" wrapText="1"/>
    </xf>
    <xf numFmtId="3" fontId="0" fillId="0" borderId="28" xfId="0" applyNumberFormat="1" applyBorder="1" applyAlignment="1">
      <alignment horizontal="center"/>
    </xf>
    <xf numFmtId="3" fontId="0" fillId="0" borderId="76" xfId="0" applyNumberFormat="1" applyBorder="1" applyAlignment="1">
      <alignment horizontal="center" vertical="center" wrapText="1"/>
    </xf>
    <xf numFmtId="3" fontId="0" fillId="0" borderId="75" xfId="0" applyNumberFormat="1" applyBorder="1" applyAlignment="1">
      <alignment horizontal="center" vertical="center" wrapText="1"/>
    </xf>
    <xf numFmtId="3" fontId="0" fillId="0" borderId="75" xfId="0" applyNumberFormat="1" applyBorder="1" applyAlignment="1">
      <alignment horizontal="center"/>
    </xf>
    <xf numFmtId="3" fontId="0" fillId="0" borderId="17" xfId="0" applyNumberFormat="1" applyBorder="1" applyAlignment="1">
      <alignment horizontal="center" vertical="center" wrapText="1"/>
    </xf>
    <xf numFmtId="3" fontId="0" fillId="0" borderId="19" xfId="0" applyNumberFormat="1" applyBorder="1" applyAlignment="1">
      <alignment horizontal="center" vertical="center" wrapText="1"/>
    </xf>
    <xf numFmtId="3" fontId="0" fillId="0" borderId="47" xfId="0" applyNumberFormat="1" applyBorder="1" applyAlignment="1">
      <alignment horizontal="center" vertical="center" wrapText="1"/>
    </xf>
    <xf numFmtId="3" fontId="0" fillId="0" borderId="24" xfId="0" applyNumberFormat="1" applyBorder="1" applyAlignment="1">
      <alignment horizontal="center" vertical="center" wrapText="1"/>
    </xf>
    <xf numFmtId="3" fontId="0" fillId="0" borderId="48" xfId="0" applyNumberFormat="1" applyBorder="1" applyAlignment="1">
      <alignment horizontal="center" vertical="center" wrapText="1"/>
    </xf>
    <xf numFmtId="3" fontId="0" fillId="0" borderId="63" xfId="0" applyNumberFormat="1" applyBorder="1" applyAlignment="1">
      <alignment horizontal="center"/>
    </xf>
    <xf numFmtId="3" fontId="0" fillId="0" borderId="12" xfId="0" applyNumberFormat="1" applyBorder="1"/>
    <xf numFmtId="3" fontId="0" fillId="0" borderId="55" xfId="0" applyNumberFormat="1" applyBorder="1"/>
    <xf numFmtId="3" fontId="0" fillId="0" borderId="23" xfId="0" applyNumberFormat="1" applyBorder="1"/>
    <xf numFmtId="3" fontId="0" fillId="0" borderId="27" xfId="0" applyNumberFormat="1" applyBorder="1"/>
    <xf numFmtId="3" fontId="0" fillId="0" borderId="26" xfId="0" applyNumberFormat="1" applyBorder="1"/>
    <xf numFmtId="3" fontId="0" fillId="0" borderId="15" xfId="0" applyNumberFormat="1" applyBorder="1"/>
    <xf numFmtId="3" fontId="0" fillId="0" borderId="17" xfId="0" applyNumberFormat="1" applyBorder="1"/>
    <xf numFmtId="3" fontId="0" fillId="0" borderId="37" xfId="0" applyNumberFormat="1" applyBorder="1"/>
    <xf numFmtId="3" fontId="0" fillId="0" borderId="28" xfId="0" applyNumberFormat="1" applyBorder="1"/>
    <xf numFmtId="3" fontId="0" fillId="0" borderId="50" xfId="0" applyNumberFormat="1" applyBorder="1"/>
    <xf numFmtId="3" fontId="0" fillId="0" borderId="51" xfId="0" applyNumberFormat="1" applyBorder="1"/>
    <xf numFmtId="3" fontId="0" fillId="9" borderId="37" xfId="0" applyNumberFormat="1" applyFill="1" applyBorder="1"/>
    <xf numFmtId="3" fontId="0" fillId="9" borderId="15" xfId="0" applyNumberFormat="1" applyFill="1" applyBorder="1"/>
    <xf numFmtId="9" fontId="0" fillId="0" borderId="37" xfId="0" applyNumberFormat="1" applyBorder="1"/>
    <xf numFmtId="9" fontId="0" fillId="0" borderId="28" xfId="0" applyNumberFormat="1" applyBorder="1"/>
    <xf numFmtId="9" fontId="0" fillId="0" borderId="18" xfId="0" applyNumberFormat="1" applyBorder="1"/>
    <xf numFmtId="9" fontId="0" fillId="0" borderId="19" xfId="0" applyNumberFormat="1" applyBorder="1"/>
    <xf numFmtId="9" fontId="0" fillId="9" borderId="37" xfId="0" applyNumberFormat="1" applyFill="1" applyBorder="1"/>
    <xf numFmtId="9" fontId="0" fillId="0" borderId="50" xfId="0" applyNumberFormat="1" applyBorder="1"/>
    <xf numFmtId="9" fontId="0" fillId="0" borderId="51" xfId="0" applyNumberFormat="1" applyBorder="1"/>
    <xf numFmtId="9" fontId="0" fillId="0" borderId="20" xfId="0" applyNumberFormat="1" applyBorder="1"/>
    <xf numFmtId="9" fontId="0" fillId="0" borderId="29" xfId="0" applyNumberFormat="1" applyBorder="1"/>
    <xf numFmtId="9" fontId="0" fillId="0" borderId="21" xfId="0" applyNumberFormat="1" applyBorder="1"/>
    <xf numFmtId="9" fontId="0" fillId="0" borderId="22" xfId="0" applyNumberFormat="1" applyBorder="1"/>
    <xf numFmtId="9" fontId="0" fillId="9" borderId="20" xfId="0" applyNumberFormat="1" applyFill="1" applyBorder="1"/>
    <xf numFmtId="9" fontId="0" fillId="0" borderId="67" xfId="0" applyNumberFormat="1" applyBorder="1"/>
    <xf numFmtId="9" fontId="0" fillId="0" borderId="78" xfId="0" applyNumberFormat="1" applyBorder="1"/>
    <xf numFmtId="0" fontId="0" fillId="0" borderId="0" xfId="0" applyFill="1" applyAlignment="1"/>
    <xf numFmtId="0" fontId="0" fillId="13" borderId="0" xfId="0" applyFill="1" applyBorder="1" applyAlignment="1">
      <alignment wrapText="1"/>
    </xf>
    <xf numFmtId="0" fontId="0" fillId="13" borderId="49" xfId="0" applyFill="1" applyBorder="1" applyAlignment="1">
      <alignment wrapText="1"/>
    </xf>
    <xf numFmtId="0" fontId="1" fillId="2" borderId="2"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0" fillId="0" borderId="15" xfId="0" applyBorder="1" applyAlignment="1">
      <alignment vertical="center"/>
    </xf>
    <xf numFmtId="0" fontId="0" fillId="0" borderId="37" xfId="0" applyBorder="1" applyAlignment="1">
      <alignment vertical="center"/>
    </xf>
    <xf numFmtId="0" fontId="0" fillId="0" borderId="20" xfId="0" applyBorder="1" applyAlignment="1">
      <alignment vertical="center"/>
    </xf>
    <xf numFmtId="0" fontId="1" fillId="2" borderId="5" xfId="0" applyFont="1" applyFill="1" applyBorder="1" applyAlignment="1">
      <alignment horizontal="center" vertical="center" wrapText="1"/>
    </xf>
    <xf numFmtId="0" fontId="0" fillId="0" borderId="26" xfId="0" applyBorder="1" applyAlignment="1">
      <alignment horizontal="center" vertical="center" wrapText="1"/>
    </xf>
    <xf numFmtId="0" fontId="0" fillId="13" borderId="39" xfId="0" applyFont="1" applyFill="1" applyBorder="1" applyAlignment="1">
      <alignment horizontal="left" indent="1"/>
    </xf>
    <xf numFmtId="0" fontId="0" fillId="0" borderId="0" xfId="0" applyFill="1" applyBorder="1" applyAlignment="1">
      <alignment horizontal="left" vertical="center"/>
    </xf>
    <xf numFmtId="0" fontId="0" fillId="0" borderId="58" xfId="0" applyBorder="1" applyAlignment="1">
      <alignment horizontal="center" vertical="center" wrapText="1"/>
    </xf>
    <xf numFmtId="0" fontId="0" fillId="0" borderId="46" xfId="0" applyBorder="1" applyAlignment="1">
      <alignment vertical="center"/>
    </xf>
    <xf numFmtId="0" fontId="7" fillId="10" borderId="45" xfId="0" applyFont="1" applyFill="1" applyBorder="1" applyAlignment="1">
      <alignment horizontal="center" vertical="center" wrapText="1"/>
    </xf>
    <xf numFmtId="0" fontId="0" fillId="0" borderId="58" xfId="0" applyBorder="1" applyAlignment="1">
      <alignment vertical="center"/>
    </xf>
    <xf numFmtId="0" fontId="0" fillId="0" borderId="54" xfId="0" applyBorder="1" applyAlignment="1">
      <alignment vertical="center"/>
    </xf>
    <xf numFmtId="0" fontId="0" fillId="0" borderId="64" xfId="0" applyBorder="1" applyAlignment="1">
      <alignment vertical="center"/>
    </xf>
    <xf numFmtId="0" fontId="2" fillId="0" borderId="0" xfId="0" applyFont="1" applyFill="1" applyBorder="1"/>
    <xf numFmtId="0" fontId="0" fillId="0" borderId="0" xfId="0" applyBorder="1" applyAlignment="1">
      <alignment horizontal="center" vertical="center"/>
    </xf>
    <xf numFmtId="0" fontId="4" fillId="6" borderId="4" xfId="0" applyFont="1" applyFill="1" applyBorder="1" applyAlignment="1">
      <alignment horizontal="center" vertical="center" wrapText="1"/>
    </xf>
    <xf numFmtId="0" fontId="7" fillId="0" borderId="12" xfId="0" applyFont="1" applyBorder="1" applyAlignment="1">
      <alignment horizontal="center" vertical="center" wrapText="1"/>
    </xf>
    <xf numFmtId="0" fontId="11" fillId="0" borderId="36" xfId="0" applyFont="1" applyBorder="1" applyAlignment="1">
      <alignment horizontal="left" vertical="center" wrapText="1"/>
    </xf>
    <xf numFmtId="0" fontId="11" fillId="0" borderId="52" xfId="0" applyFont="1" applyBorder="1" applyAlignment="1">
      <alignment horizontal="left" vertical="center" wrapText="1"/>
    </xf>
    <xf numFmtId="0" fontId="11" fillId="0" borderId="34" xfId="0" applyFont="1" applyBorder="1" applyAlignment="1">
      <alignment horizontal="left" vertical="center" wrapText="1"/>
    </xf>
    <xf numFmtId="0" fontId="0" fillId="0" borderId="54" xfId="0" applyBorder="1" applyAlignment="1">
      <alignment horizontal="center" vertical="center"/>
    </xf>
    <xf numFmtId="0" fontId="0" fillId="0" borderId="64" xfId="0" applyBorder="1" applyAlignment="1">
      <alignment horizontal="center" vertical="center"/>
    </xf>
    <xf numFmtId="0" fontId="0" fillId="0" borderId="53" xfId="0" applyBorder="1" applyAlignment="1">
      <alignment horizontal="center" vertical="center"/>
    </xf>
    <xf numFmtId="0" fontId="7" fillId="0" borderId="55" xfId="0" applyFont="1" applyBorder="1" applyAlignment="1">
      <alignment horizontal="center" vertical="center" wrapText="1"/>
    </xf>
    <xf numFmtId="0" fontId="0" fillId="13" borderId="35" xfId="0" applyFill="1" applyBorder="1" applyAlignment="1">
      <alignment horizontal="left"/>
    </xf>
    <xf numFmtId="0" fontId="9" fillId="13" borderId="35" xfId="0" applyFont="1" applyFill="1" applyBorder="1" applyAlignment="1"/>
    <xf numFmtId="0" fontId="0" fillId="0" borderId="0" xfId="0" applyFill="1" applyBorder="1" applyAlignment="1">
      <alignment horizontal="left" indent="1"/>
    </xf>
    <xf numFmtId="0" fontId="0" fillId="0" borderId="46" xfId="0" applyBorder="1" applyAlignment="1">
      <alignment vertical="center" wrapText="1"/>
    </xf>
    <xf numFmtId="0" fontId="1" fillId="0" borderId="33" xfId="0" applyFont="1" applyBorder="1" applyAlignment="1">
      <alignment horizontal="center" vertical="center" wrapText="1"/>
    </xf>
    <xf numFmtId="10" fontId="17" fillId="0" borderId="15" xfId="1" applyNumberFormat="1" applyFont="1" applyBorder="1" applyAlignment="1">
      <alignment horizontal="center" vertical="center"/>
    </xf>
    <xf numFmtId="10" fontId="17" fillId="0" borderId="27" xfId="1" applyNumberFormat="1" applyFont="1" applyBorder="1" applyAlignment="1">
      <alignment horizontal="center" vertical="center"/>
    </xf>
    <xf numFmtId="10" fontId="17" fillId="0" borderId="16" xfId="1" applyNumberFormat="1" applyFont="1" applyBorder="1" applyAlignment="1">
      <alignment horizontal="center" vertical="center"/>
    </xf>
    <xf numFmtId="10" fontId="17" fillId="0" borderId="37" xfId="1" applyNumberFormat="1" applyFont="1" applyBorder="1" applyAlignment="1">
      <alignment horizontal="center" vertical="center"/>
    </xf>
    <xf numFmtId="10" fontId="17" fillId="0" borderId="28" xfId="1" applyNumberFormat="1" applyFont="1" applyBorder="1" applyAlignment="1">
      <alignment horizontal="center" vertical="center"/>
    </xf>
    <xf numFmtId="10" fontId="17" fillId="0" borderId="18" xfId="1" applyNumberFormat="1" applyFont="1" applyBorder="1" applyAlignment="1">
      <alignment horizontal="center" vertical="center"/>
    </xf>
    <xf numFmtId="10" fontId="17" fillId="0" borderId="76" xfId="1" applyNumberFormat="1" applyFont="1" applyBorder="1" applyAlignment="1">
      <alignment horizontal="center" vertical="center"/>
    </xf>
    <xf numFmtId="10" fontId="17" fillId="0" borderId="75" xfId="1" applyNumberFormat="1" applyFont="1" applyBorder="1" applyAlignment="1">
      <alignment horizontal="center" vertical="center"/>
    </xf>
    <xf numFmtId="10" fontId="17" fillId="0" borderId="74" xfId="1" applyNumberFormat="1" applyFont="1" applyBorder="1" applyAlignment="1">
      <alignment horizontal="center" vertical="center"/>
    </xf>
    <xf numFmtId="0" fontId="1" fillId="0" borderId="15" xfId="0" applyFont="1" applyBorder="1" applyAlignment="1">
      <alignment horizontal="center"/>
    </xf>
    <xf numFmtId="0" fontId="1" fillId="0" borderId="27" xfId="0" applyFont="1" applyBorder="1" applyAlignment="1">
      <alignment horizontal="center"/>
    </xf>
    <xf numFmtId="0" fontId="1" fillId="0" borderId="16" xfId="0" applyFont="1" applyBorder="1" applyAlignment="1">
      <alignment horizontal="center"/>
    </xf>
    <xf numFmtId="0" fontId="1" fillId="0" borderId="20" xfId="0" applyFont="1" applyBorder="1" applyAlignment="1">
      <alignment horizontal="center"/>
    </xf>
    <xf numFmtId="0" fontId="1" fillId="0" borderId="29" xfId="0" applyFont="1" applyBorder="1" applyAlignment="1">
      <alignment horizontal="center"/>
    </xf>
    <xf numFmtId="0" fontId="1" fillId="0" borderId="21" xfId="0" applyFont="1" applyBorder="1" applyAlignment="1">
      <alignment horizontal="center"/>
    </xf>
    <xf numFmtId="0" fontId="0" fillId="0" borderId="79" xfId="0" applyBorder="1"/>
    <xf numFmtId="164" fontId="0" fillId="0" borderId="6" xfId="0" applyNumberFormat="1" applyBorder="1"/>
    <xf numFmtId="164" fontId="0" fillId="0" borderId="69" xfId="0" applyNumberFormat="1" applyBorder="1"/>
    <xf numFmtId="164" fontId="0" fillId="0" borderId="7" xfId="0" applyNumberFormat="1" applyBorder="1"/>
    <xf numFmtId="0" fontId="0" fillId="0" borderId="46" xfId="0" applyBorder="1"/>
    <xf numFmtId="0" fontId="1" fillId="0" borderId="46" xfId="0" applyFont="1" applyBorder="1"/>
    <xf numFmtId="164" fontId="1" fillId="0" borderId="80" xfId="0" applyNumberFormat="1" applyFont="1" applyBorder="1"/>
    <xf numFmtId="164" fontId="1" fillId="0" borderId="81" xfId="0" applyNumberFormat="1" applyFont="1" applyBorder="1"/>
    <xf numFmtId="164" fontId="1" fillId="0" borderId="82" xfId="0" applyNumberFormat="1" applyFont="1" applyBorder="1"/>
    <xf numFmtId="0" fontId="1" fillId="0" borderId="0" xfId="0" applyFont="1" applyFill="1" applyBorder="1"/>
    <xf numFmtId="0" fontId="18" fillId="6" borderId="11" xfId="0" applyFont="1" applyFill="1" applyBorder="1" applyAlignment="1">
      <alignment horizontal="center" vertical="center" wrapText="1"/>
    </xf>
    <xf numFmtId="0" fontId="19" fillId="0" borderId="21" xfId="0" applyFont="1" applyBorder="1" applyAlignment="1">
      <alignment horizontal="center"/>
    </xf>
    <xf numFmtId="0" fontId="20" fillId="0" borderId="79" xfId="0" applyFont="1" applyBorder="1"/>
    <xf numFmtId="0" fontId="19" fillId="0" borderId="46" xfId="0" applyFont="1" applyBorder="1"/>
    <xf numFmtId="164" fontId="0" fillId="0" borderId="0" xfId="0" applyNumberFormat="1" applyBorder="1"/>
    <xf numFmtId="164" fontId="0" fillId="0" borderId="3" xfId="0" applyNumberFormat="1" applyBorder="1"/>
    <xf numFmtId="164" fontId="1" fillId="0" borderId="84" xfId="0" applyNumberFormat="1" applyFont="1" applyBorder="1"/>
    <xf numFmtId="164" fontId="1" fillId="0" borderId="83" xfId="0" applyNumberFormat="1" applyFont="1" applyBorder="1"/>
    <xf numFmtId="164" fontId="0" fillId="0" borderId="57" xfId="0" applyNumberFormat="1" applyBorder="1"/>
    <xf numFmtId="164" fontId="0" fillId="0" borderId="85" xfId="0" applyNumberFormat="1" applyBorder="1"/>
    <xf numFmtId="164" fontId="0" fillId="0" borderId="71" xfId="0" applyNumberFormat="1" applyBorder="1"/>
    <xf numFmtId="164" fontId="1" fillId="0" borderId="67" xfId="0" applyNumberFormat="1" applyFont="1" applyBorder="1"/>
    <xf numFmtId="164" fontId="1" fillId="0" borderId="29" xfId="0" applyNumberFormat="1" applyFont="1" applyBorder="1"/>
    <xf numFmtId="164" fontId="1" fillId="0" borderId="34" xfId="0" applyNumberFormat="1" applyFont="1" applyBorder="1"/>
    <xf numFmtId="164" fontId="1" fillId="0" borderId="21" xfId="0" applyNumberFormat="1" applyFont="1" applyBorder="1"/>
    <xf numFmtId="164" fontId="1" fillId="0" borderId="87" xfId="0" applyNumberFormat="1" applyFont="1" applyBorder="1"/>
    <xf numFmtId="164" fontId="0" fillId="0" borderId="73" xfId="0" applyNumberFormat="1" applyBorder="1"/>
    <xf numFmtId="164" fontId="19" fillId="0" borderId="86" xfId="0" applyNumberFormat="1" applyFont="1" applyBorder="1"/>
    <xf numFmtId="164" fontId="20" fillId="0" borderId="53" xfId="0" applyNumberFormat="1" applyFont="1" applyBorder="1"/>
    <xf numFmtId="0" fontId="20" fillId="0" borderId="0" xfId="0" applyFont="1"/>
    <xf numFmtId="0" fontId="2" fillId="0" borderId="0" xfId="0" applyFont="1" applyFill="1" applyAlignment="1"/>
    <xf numFmtId="0" fontId="1" fillId="0" borderId="28" xfId="0" applyFont="1" applyBorder="1" applyAlignment="1">
      <alignment horizontal="center" wrapText="1"/>
    </xf>
    <xf numFmtId="0" fontId="19" fillId="0" borderId="67" xfId="0" applyFont="1" applyBorder="1" applyAlignment="1">
      <alignment horizontal="center"/>
    </xf>
    <xf numFmtId="0" fontId="0" fillId="0" borderId="6" xfId="0" applyBorder="1"/>
    <xf numFmtId="164" fontId="20" fillId="0" borderId="79" xfId="0" applyNumberFormat="1" applyFont="1" applyBorder="1"/>
    <xf numFmtId="164" fontId="1" fillId="0" borderId="64" xfId="0" applyNumberFormat="1" applyFont="1" applyBorder="1"/>
    <xf numFmtId="0" fontId="1" fillId="0" borderId="40" xfId="0" applyFont="1" applyBorder="1" applyAlignment="1">
      <alignment horizontal="center"/>
    </xf>
    <xf numFmtId="0" fontId="1" fillId="0" borderId="30" xfId="0" applyFont="1" applyBorder="1" applyAlignment="1">
      <alignment horizontal="center"/>
    </xf>
    <xf numFmtId="164" fontId="0" fillId="0" borderId="45" xfId="0" applyNumberFormat="1" applyBorder="1"/>
    <xf numFmtId="164" fontId="0" fillId="0" borderId="79" xfId="0" applyNumberFormat="1" applyBorder="1"/>
    <xf numFmtId="164" fontId="0" fillId="0" borderId="2" xfId="0" applyNumberFormat="1" applyBorder="1"/>
    <xf numFmtId="164" fontId="0" fillId="0" borderId="70" xfId="0" applyNumberFormat="1" applyBorder="1"/>
    <xf numFmtId="164" fontId="1" fillId="0" borderId="88" xfId="0" applyNumberFormat="1" applyFont="1" applyBorder="1"/>
    <xf numFmtId="164" fontId="20" fillId="0" borderId="73" xfId="0" applyNumberFormat="1" applyFont="1" applyBorder="1"/>
    <xf numFmtId="164" fontId="20" fillId="0" borderId="69" xfId="0" applyNumberFormat="1" applyFont="1" applyBorder="1"/>
    <xf numFmtId="0" fontId="1" fillId="11" borderId="13" xfId="0" applyFont="1" applyFill="1" applyBorder="1" applyAlignment="1">
      <alignment horizontal="center" vertical="center" wrapText="1"/>
    </xf>
    <xf numFmtId="0" fontId="7" fillId="8" borderId="60"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5" xfId="0" applyFont="1" applyBorder="1" applyAlignment="1">
      <alignment horizontal="center" vertical="center" wrapText="1"/>
    </xf>
    <xf numFmtId="0" fontId="6" fillId="6" borderId="58" xfId="0" applyFont="1" applyFill="1" applyBorder="1" applyAlignment="1">
      <alignment horizontal="center" vertical="center" wrapText="1"/>
    </xf>
    <xf numFmtId="0" fontId="4" fillId="6" borderId="77" xfId="0" applyFont="1" applyFill="1" applyBorder="1" applyAlignment="1">
      <alignment horizontal="center" vertical="center" wrapText="1"/>
    </xf>
    <xf numFmtId="0" fontId="4" fillId="6" borderId="64" xfId="0" applyFont="1" applyFill="1" applyBorder="1" applyAlignment="1">
      <alignment horizontal="center" vertical="center" wrapText="1"/>
    </xf>
    <xf numFmtId="0" fontId="4" fillId="6" borderId="66" xfId="0" applyFont="1" applyFill="1" applyBorder="1" applyAlignment="1">
      <alignment horizontal="center" vertical="center" wrapText="1"/>
    </xf>
    <xf numFmtId="3" fontId="0" fillId="0" borderId="0" xfId="0" applyNumberFormat="1" applyBorder="1" applyAlignment="1">
      <alignment horizontal="center" vertical="center"/>
    </xf>
    <xf numFmtId="44" fontId="0" fillId="0" borderId="0" xfId="0" applyNumberFormat="1" applyBorder="1" applyAlignment="1">
      <alignment horizontal="center" vertical="center"/>
    </xf>
    <xf numFmtId="0" fontId="1" fillId="0" borderId="79" xfId="0" applyFont="1" applyBorder="1"/>
    <xf numFmtId="0" fontId="1" fillId="0" borderId="68" xfId="0" applyFont="1" applyBorder="1"/>
    <xf numFmtId="0" fontId="4" fillId="6" borderId="55" xfId="0" applyFont="1" applyFill="1" applyBorder="1" applyAlignment="1">
      <alignment horizontal="center" vertical="center" wrapText="1"/>
    </xf>
    <xf numFmtId="0" fontId="0" fillId="0" borderId="79" xfId="0" applyBorder="1" applyAlignment="1">
      <alignment wrapText="1"/>
    </xf>
    <xf numFmtId="0" fontId="1" fillId="0" borderId="5" xfId="0" applyFont="1" applyBorder="1" applyAlignment="1">
      <alignment horizontal="center" vertical="center" wrapText="1"/>
    </xf>
    <xf numFmtId="0" fontId="11" fillId="6" borderId="15" xfId="0" applyFont="1" applyFill="1" applyBorder="1" applyAlignment="1">
      <alignment horizontal="center" vertical="center" wrapText="1"/>
    </xf>
    <xf numFmtId="0" fontId="11" fillId="6" borderId="37"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1" fillId="6" borderId="58" xfId="0" applyFont="1" applyFill="1" applyBorder="1" applyAlignment="1">
      <alignment horizontal="center" vertical="center" wrapText="1"/>
    </xf>
    <xf numFmtId="0" fontId="11" fillId="6" borderId="54" xfId="0" applyFont="1" applyFill="1" applyBorder="1" applyAlignment="1">
      <alignment horizontal="center" vertical="center" wrapText="1"/>
    </xf>
    <xf numFmtId="0" fontId="11" fillId="6" borderId="64" xfId="0" applyFont="1" applyFill="1" applyBorder="1" applyAlignment="1">
      <alignment horizontal="center" vertical="center" wrapText="1"/>
    </xf>
    <xf numFmtId="3" fontId="0" fillId="12" borderId="37" xfId="0" applyNumberFormat="1" applyFont="1" applyFill="1" applyBorder="1" applyAlignment="1">
      <alignment horizontal="center" vertical="center"/>
    </xf>
    <xf numFmtId="44" fontId="0" fillId="12" borderId="28" xfId="0" applyNumberFormat="1" applyFont="1" applyFill="1" applyBorder="1" applyAlignment="1">
      <alignment horizontal="center" vertical="center"/>
    </xf>
    <xf numFmtId="44" fontId="0" fillId="12" borderId="18" xfId="0" applyNumberFormat="1" applyFont="1" applyFill="1" applyBorder="1" applyAlignment="1">
      <alignment horizontal="center" vertical="center"/>
    </xf>
    <xf numFmtId="10" fontId="17" fillId="12" borderId="37" xfId="1" applyNumberFormat="1" applyFont="1" applyFill="1" applyBorder="1" applyAlignment="1">
      <alignment horizontal="center" vertical="center"/>
    </xf>
    <xf numFmtId="10" fontId="17" fillId="12" borderId="28" xfId="1" applyNumberFormat="1" applyFont="1" applyFill="1" applyBorder="1" applyAlignment="1">
      <alignment horizontal="center" vertical="center"/>
    </xf>
    <xf numFmtId="10" fontId="17" fillId="12" borderId="18" xfId="1" applyNumberFormat="1" applyFont="1" applyFill="1" applyBorder="1" applyAlignment="1">
      <alignment horizontal="center" vertical="center"/>
    </xf>
    <xf numFmtId="0" fontId="0" fillId="12" borderId="37" xfId="0" applyFont="1" applyFill="1" applyBorder="1" applyAlignment="1">
      <alignment horizontal="center" vertical="center"/>
    </xf>
    <xf numFmtId="0" fontId="0" fillId="12" borderId="37" xfId="0" applyFont="1" applyFill="1" applyBorder="1" applyAlignment="1">
      <alignment horizontal="center" vertical="center" wrapText="1"/>
    </xf>
    <xf numFmtId="44" fontId="0" fillId="12" borderId="28" xfId="0" applyNumberFormat="1" applyFont="1" applyFill="1" applyBorder="1" applyAlignment="1">
      <alignment horizontal="center" vertical="center" wrapText="1"/>
    </xf>
    <xf numFmtId="44" fontId="0" fillId="12" borderId="18" xfId="0" applyNumberFormat="1" applyFont="1" applyFill="1" applyBorder="1" applyAlignment="1">
      <alignment horizontal="center" vertical="center" wrapText="1"/>
    </xf>
    <xf numFmtId="10" fontId="17" fillId="12" borderId="76" xfId="1" applyNumberFormat="1" applyFont="1" applyFill="1" applyBorder="1" applyAlignment="1">
      <alignment horizontal="center" vertical="center"/>
    </xf>
    <xf numFmtId="10" fontId="17" fillId="12" borderId="75" xfId="1" applyNumberFormat="1" applyFont="1" applyFill="1" applyBorder="1" applyAlignment="1">
      <alignment horizontal="center" vertical="center"/>
    </xf>
    <xf numFmtId="10" fontId="17" fillId="12" borderId="74" xfId="1" applyNumberFormat="1" applyFont="1" applyFill="1" applyBorder="1" applyAlignment="1">
      <alignment horizontal="center" vertical="center"/>
    </xf>
    <xf numFmtId="3" fontId="0" fillId="12" borderId="37" xfId="0" applyNumberFormat="1" applyFill="1" applyBorder="1" applyAlignment="1">
      <alignment horizontal="center" vertical="center"/>
    </xf>
    <xf numFmtId="44" fontId="0" fillId="12" borderId="28" xfId="0" applyNumberFormat="1" applyFill="1" applyBorder="1" applyAlignment="1">
      <alignment horizontal="center" vertical="center"/>
    </xf>
    <xf numFmtId="44" fontId="0" fillId="12" borderId="18" xfId="0" applyNumberFormat="1" applyFill="1" applyBorder="1" applyAlignment="1">
      <alignment horizontal="center" vertical="center"/>
    </xf>
    <xf numFmtId="0" fontId="0" fillId="0" borderId="20" xfId="0" applyFont="1" applyBorder="1" applyAlignment="1">
      <alignment horizontal="center" vertical="center"/>
    </xf>
    <xf numFmtId="44" fontId="0" fillId="0" borderId="29" xfId="0" applyNumberFormat="1" applyFont="1" applyBorder="1" applyAlignment="1">
      <alignment horizontal="center" vertical="center"/>
    </xf>
    <xf numFmtId="44" fontId="0" fillId="0" borderId="21" xfId="0" applyNumberFormat="1" applyFont="1" applyBorder="1" applyAlignment="1">
      <alignment horizontal="center" vertical="center"/>
    </xf>
    <xf numFmtId="3" fontId="0" fillId="0" borderId="20" xfId="0" applyNumberFormat="1" applyFont="1" applyBorder="1" applyAlignment="1">
      <alignment horizontal="center" vertical="center"/>
    </xf>
    <xf numFmtId="0" fontId="1" fillId="0" borderId="55" xfId="0" applyFont="1" applyBorder="1" applyAlignment="1"/>
    <xf numFmtId="0" fontId="1" fillId="0" borderId="58" xfId="0" applyFont="1" applyBorder="1" applyAlignment="1">
      <alignment horizontal="center"/>
    </xf>
    <xf numFmtId="0" fontId="1" fillId="0" borderId="64" xfId="0" applyFont="1" applyBorder="1" applyAlignment="1">
      <alignment horizontal="center"/>
    </xf>
    <xf numFmtId="0" fontId="1" fillId="0" borderId="55" xfId="0" applyFont="1" applyBorder="1" applyAlignment="1">
      <alignment horizontal="center"/>
    </xf>
    <xf numFmtId="164" fontId="1" fillId="0" borderId="46" xfId="0" applyNumberFormat="1" applyFont="1" applyBorder="1"/>
    <xf numFmtId="3" fontId="0" fillId="0" borderId="37" xfId="0" applyNumberFormat="1" applyFont="1" applyFill="1" applyBorder="1" applyAlignment="1">
      <alignment horizontal="center" vertical="center"/>
    </xf>
    <xf numFmtId="44" fontId="0" fillId="0" borderId="28" xfId="0" applyNumberFormat="1" applyFont="1" applyFill="1" applyBorder="1" applyAlignment="1">
      <alignment horizontal="center" vertical="center"/>
    </xf>
    <xf numFmtId="44" fontId="0" fillId="0" borderId="18" xfId="0" applyNumberFormat="1" applyFont="1" applyFill="1" applyBorder="1" applyAlignment="1">
      <alignment horizontal="center" vertical="center"/>
    </xf>
    <xf numFmtId="10" fontId="17" fillId="0" borderId="37" xfId="1" applyNumberFormat="1" applyFont="1" applyFill="1" applyBorder="1" applyAlignment="1">
      <alignment horizontal="center" vertical="center"/>
    </xf>
    <xf numFmtId="10" fontId="17" fillId="0" borderId="28" xfId="1" applyNumberFormat="1" applyFont="1" applyFill="1" applyBorder="1" applyAlignment="1">
      <alignment horizontal="center" vertical="center"/>
    </xf>
    <xf numFmtId="10" fontId="17" fillId="0" borderId="18" xfId="1" applyNumberFormat="1" applyFont="1" applyFill="1" applyBorder="1" applyAlignment="1">
      <alignment horizontal="center" vertical="center"/>
    </xf>
    <xf numFmtId="0" fontId="0" fillId="0" borderId="0" xfId="0" applyFill="1" applyAlignment="1">
      <alignment horizontal="center"/>
    </xf>
    <xf numFmtId="0" fontId="0" fillId="0" borderId="24" xfId="0" applyFill="1" applyBorder="1"/>
    <xf numFmtId="0" fontId="0" fillId="0" borderId="48" xfId="0" applyFill="1" applyBorder="1"/>
    <xf numFmtId="0" fontId="0" fillId="0" borderId="63" xfId="0" applyFill="1" applyBorder="1"/>
    <xf numFmtId="0" fontId="0" fillId="0" borderId="41" xfId="0" applyFill="1" applyBorder="1"/>
    <xf numFmtId="0" fontId="0" fillId="0" borderId="56" xfId="0" applyBorder="1" applyAlignment="1">
      <alignment vertical="center" wrapText="1"/>
    </xf>
    <xf numFmtId="0" fontId="0" fillId="0" borderId="49" xfId="0" applyBorder="1" applyAlignment="1">
      <alignment vertical="center" wrapText="1"/>
    </xf>
    <xf numFmtId="0" fontId="0" fillId="0" borderId="42" xfId="0" applyBorder="1" applyAlignment="1">
      <alignment vertical="center" wrapText="1"/>
    </xf>
    <xf numFmtId="0" fontId="0" fillId="0" borderId="57" xfId="0" applyBorder="1" applyAlignment="1">
      <alignment horizontal="center"/>
    </xf>
    <xf numFmtId="0" fontId="0" fillId="9" borderId="28" xfId="0" applyFill="1" applyBorder="1" applyAlignment="1">
      <alignment horizontal="center" vertical="center" wrapText="1"/>
    </xf>
    <xf numFmtId="0" fontId="0" fillId="9" borderId="18" xfId="0" applyFill="1" applyBorder="1" applyAlignment="1">
      <alignment horizontal="center" vertical="center" wrapText="1"/>
    </xf>
    <xf numFmtId="0" fontId="0" fillId="0" borderId="37" xfId="0" applyFill="1" applyBorder="1"/>
    <xf numFmtId="0" fontId="0" fillId="0" borderId="38" xfId="0" applyFill="1" applyBorder="1"/>
    <xf numFmtId="0" fontId="0" fillId="0" borderId="47" xfId="0" applyFill="1" applyBorder="1" applyAlignment="1">
      <alignment vertical="center" wrapText="1"/>
    </xf>
    <xf numFmtId="0" fontId="0" fillId="0" borderId="47" xfId="0" applyFill="1" applyBorder="1" applyAlignment="1">
      <alignment horizontal="center" vertical="center" wrapText="1"/>
    </xf>
    <xf numFmtId="0" fontId="0" fillId="0" borderId="22" xfId="0" applyFill="1" applyBorder="1" applyAlignment="1">
      <alignment horizontal="center" vertical="center" wrapText="1"/>
    </xf>
    <xf numFmtId="0" fontId="0" fillId="9" borderId="29" xfId="0" applyFill="1" applyBorder="1" applyAlignment="1">
      <alignment horizontal="center" vertical="center" wrapText="1"/>
    </xf>
    <xf numFmtId="0" fontId="0" fillId="9" borderId="21" xfId="0" applyFill="1" applyBorder="1" applyAlignment="1">
      <alignment horizontal="center" vertical="center" wrapText="1"/>
    </xf>
    <xf numFmtId="0" fontId="0" fillId="0" borderId="76" xfId="0" applyFill="1" applyBorder="1"/>
    <xf numFmtId="0" fontId="0" fillId="0" borderId="75" xfId="0" applyFill="1" applyBorder="1"/>
    <xf numFmtId="0" fontId="0" fillId="0" borderId="59" xfId="0" applyFill="1" applyBorder="1"/>
    <xf numFmtId="0" fontId="0" fillId="16" borderId="21" xfId="0" applyFill="1" applyBorder="1" applyAlignment="1">
      <alignment horizontal="center" vertical="center" wrapText="1"/>
    </xf>
    <xf numFmtId="0" fontId="0" fillId="0" borderId="68" xfId="0" applyFill="1" applyBorder="1" applyAlignment="1">
      <alignment horizontal="center" vertical="center" wrapText="1"/>
    </xf>
    <xf numFmtId="0" fontId="0" fillId="9" borderId="24" xfId="0" applyFill="1" applyBorder="1" applyAlignment="1">
      <alignment horizontal="center"/>
    </xf>
    <xf numFmtId="0" fontId="0" fillId="0" borderId="56" xfId="0" applyBorder="1" applyAlignment="1">
      <alignment horizontal="center" vertical="center"/>
    </xf>
    <xf numFmtId="0" fontId="0" fillId="0" borderId="27" xfId="0" applyBorder="1" applyAlignment="1">
      <alignment horizontal="center" vertical="center"/>
    </xf>
    <xf numFmtId="0" fontId="0" fillId="0" borderId="42" xfId="0" applyBorder="1" applyAlignment="1">
      <alignment horizontal="center" vertical="center"/>
    </xf>
    <xf numFmtId="0" fontId="0" fillId="0" borderId="63" xfId="0" applyBorder="1" applyAlignment="1">
      <alignment horizontal="center" vertical="center"/>
    </xf>
    <xf numFmtId="0" fontId="0" fillId="9" borderId="56" xfId="0" applyFill="1" applyBorder="1" applyAlignment="1">
      <alignment horizontal="center" vertical="center"/>
    </xf>
    <xf numFmtId="0" fontId="0" fillId="9" borderId="63" xfId="0" applyFill="1" applyBorder="1" applyAlignment="1">
      <alignment horizontal="center" vertical="center"/>
    </xf>
    <xf numFmtId="0" fontId="0" fillId="9" borderId="42" xfId="0" applyFill="1" applyBorder="1" applyAlignment="1">
      <alignment horizontal="center" vertical="center"/>
    </xf>
    <xf numFmtId="0" fontId="0" fillId="0" borderId="56" xfId="0" applyFill="1" applyBorder="1" applyAlignment="1">
      <alignment horizontal="center" vertical="center"/>
    </xf>
    <xf numFmtId="0" fontId="0" fillId="0" borderId="63" xfId="0" applyFill="1" applyBorder="1" applyAlignment="1">
      <alignment horizontal="center" vertical="center"/>
    </xf>
    <xf numFmtId="0" fontId="0" fillId="0" borderId="37" xfId="0" applyFont="1" applyFill="1" applyBorder="1" applyAlignment="1">
      <alignment horizontal="center" vertical="center" wrapText="1"/>
    </xf>
    <xf numFmtId="44" fontId="0" fillId="0" borderId="28" xfId="0" applyNumberFormat="1" applyFont="1" applyFill="1" applyBorder="1" applyAlignment="1">
      <alignment horizontal="center" vertical="center" wrapText="1"/>
    </xf>
    <xf numFmtId="44" fontId="0" fillId="0" borderId="18" xfId="0" applyNumberFormat="1" applyFont="1" applyFill="1" applyBorder="1" applyAlignment="1">
      <alignment horizontal="center" vertical="center" wrapText="1"/>
    </xf>
    <xf numFmtId="165" fontId="0" fillId="0" borderId="63" xfId="0" applyNumberFormat="1" applyBorder="1" applyAlignment="1">
      <alignment horizontal="center" vertical="center" wrapText="1"/>
    </xf>
    <xf numFmtId="2" fontId="0" fillId="0" borderId="18" xfId="0" applyNumberFormat="1" applyBorder="1" applyAlignment="1">
      <alignment horizontal="center" vertical="center" wrapText="1"/>
    </xf>
    <xf numFmtId="0" fontId="0" fillId="0" borderId="41" xfId="0" applyBorder="1" applyAlignment="1">
      <alignment horizontal="center" vertical="center"/>
    </xf>
    <xf numFmtId="165" fontId="0" fillId="0" borderId="28" xfId="0" applyNumberFormat="1" applyBorder="1" applyAlignment="1">
      <alignment horizontal="center" vertical="center" wrapText="1"/>
    </xf>
    <xf numFmtId="0" fontId="0" fillId="0" borderId="28" xfId="0" applyBorder="1" applyAlignment="1">
      <alignment horizontal="center" vertical="center"/>
    </xf>
    <xf numFmtId="0" fontId="0" fillId="0" borderId="38" xfId="0" applyBorder="1" applyAlignment="1">
      <alignment horizontal="center" vertical="center"/>
    </xf>
    <xf numFmtId="0" fontId="0" fillId="9" borderId="19" xfId="0" applyFill="1" applyBorder="1" applyAlignment="1">
      <alignment horizontal="center" vertical="center" wrapText="1"/>
    </xf>
    <xf numFmtId="0" fontId="0" fillId="9" borderId="28" xfId="0" applyFill="1" applyBorder="1" applyAlignment="1">
      <alignment horizontal="center" vertical="center"/>
    </xf>
    <xf numFmtId="0" fontId="0" fillId="9" borderId="38" xfId="0" applyFill="1" applyBorder="1" applyAlignment="1">
      <alignment horizontal="center" vertical="center"/>
    </xf>
    <xf numFmtId="165" fontId="0" fillId="0" borderId="28" xfId="0" applyNumberFormat="1" applyFill="1" applyBorder="1" applyAlignment="1">
      <alignment horizontal="center" vertical="center" wrapText="1"/>
    </xf>
    <xf numFmtId="0" fontId="0" fillId="0" borderId="69" xfId="0" applyFill="1" applyBorder="1" applyAlignment="1">
      <alignment horizontal="center" vertical="center" wrapText="1"/>
    </xf>
    <xf numFmtId="0" fontId="0" fillId="0" borderId="47" xfId="0" applyBorder="1" applyAlignment="1">
      <alignment horizontal="center" vertical="center" wrapText="1"/>
    </xf>
    <xf numFmtId="165" fontId="0" fillId="0" borderId="75" xfId="0" applyNumberFormat="1" applyBorder="1" applyAlignment="1">
      <alignment horizontal="center" vertical="center" wrapText="1"/>
    </xf>
    <xf numFmtId="0" fontId="0" fillId="0" borderId="75" xfId="0" applyBorder="1" applyAlignment="1">
      <alignment horizontal="center" vertical="center"/>
    </xf>
    <xf numFmtId="0" fontId="0" fillId="0" borderId="59" xfId="0" applyBorder="1" applyAlignment="1">
      <alignment horizontal="center" vertical="center"/>
    </xf>
    <xf numFmtId="0" fontId="0" fillId="9" borderId="30" xfId="0" applyFill="1" applyBorder="1" applyAlignment="1">
      <alignment horizontal="center" vertical="center"/>
    </xf>
    <xf numFmtId="0" fontId="0" fillId="0" borderId="12" xfId="0" applyBorder="1" applyAlignment="1">
      <alignment horizontal="center" vertical="center" wrapText="1"/>
    </xf>
    <xf numFmtId="0" fontId="0" fillId="0" borderId="0" xfId="0" applyBorder="1" applyAlignment="1">
      <alignment horizontal="left" vertical="center" wrapText="1"/>
    </xf>
    <xf numFmtId="0" fontId="1" fillId="11" borderId="11" xfId="0" applyFont="1" applyFill="1" applyBorder="1" applyAlignment="1">
      <alignment horizontal="center" vertical="center" wrapText="1"/>
    </xf>
    <xf numFmtId="0" fontId="1" fillId="11" borderId="12"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1" fillId="11" borderId="45"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4" fillId="5" borderId="62" xfId="0" applyFont="1" applyFill="1" applyBorder="1" applyAlignment="1">
      <alignment horizontal="center" vertical="center" wrapText="1"/>
    </xf>
    <xf numFmtId="0" fontId="0" fillId="0" borderId="61" xfId="0" applyBorder="1" applyAlignment="1">
      <alignment horizontal="center" vertical="center" wrapText="1"/>
    </xf>
    <xf numFmtId="0" fontId="0" fillId="0" borderId="25" xfId="0" applyBorder="1" applyAlignment="1">
      <alignment horizontal="center" vertical="center" wrapText="1"/>
    </xf>
    <xf numFmtId="0" fontId="1" fillId="11" borderId="0" xfId="0" applyFont="1" applyFill="1" applyBorder="1" applyAlignment="1">
      <alignment horizontal="center" vertical="center" wrapText="1"/>
    </xf>
    <xf numFmtId="3" fontId="0" fillId="0" borderId="15" xfId="0" applyNumberFormat="1" applyFill="1" applyBorder="1"/>
    <xf numFmtId="3" fontId="0" fillId="0" borderId="27" xfId="0" applyNumberFormat="1" applyFill="1" applyBorder="1"/>
    <xf numFmtId="3" fontId="0" fillId="0" borderId="16" xfId="0" applyNumberFormat="1" applyFill="1" applyBorder="1"/>
    <xf numFmtId="9" fontId="0" fillId="0" borderId="37" xfId="0" applyNumberFormat="1" applyFill="1" applyBorder="1"/>
    <xf numFmtId="9" fontId="0" fillId="0" borderId="28" xfId="0" applyNumberFormat="1" applyFill="1" applyBorder="1"/>
    <xf numFmtId="9" fontId="0" fillId="0" borderId="18" xfId="0" applyNumberFormat="1" applyFill="1" applyBorder="1"/>
    <xf numFmtId="3" fontId="0" fillId="0" borderId="37" xfId="0" applyNumberFormat="1" applyFill="1" applyBorder="1"/>
    <xf numFmtId="3" fontId="0" fillId="0" borderId="28" xfId="0" applyNumberFormat="1" applyFill="1" applyBorder="1"/>
    <xf numFmtId="3" fontId="0" fillId="0" borderId="18" xfId="0" applyNumberFormat="1" applyFill="1" applyBorder="1"/>
    <xf numFmtId="43" fontId="0" fillId="13" borderId="28" xfId="2" applyFont="1" applyFill="1" applyBorder="1" applyAlignment="1">
      <alignment horizontal="center" vertical="center" wrapText="1"/>
    </xf>
    <xf numFmtId="0" fontId="0" fillId="0" borderId="24" xfId="0" applyFill="1" applyBorder="1" applyAlignment="1">
      <alignment horizontal="center"/>
    </xf>
    <xf numFmtId="166" fontId="0" fillId="0" borderId="37" xfId="2" applyNumberFormat="1" applyFont="1" applyBorder="1" applyAlignment="1">
      <alignment horizontal="center" vertical="center" wrapText="1"/>
    </xf>
    <xf numFmtId="166" fontId="0" fillId="0" borderId="38" xfId="2" applyNumberFormat="1" applyFont="1" applyBorder="1" applyAlignment="1">
      <alignment horizontal="center" vertical="center" wrapText="1"/>
    </xf>
    <xf numFmtId="166" fontId="0" fillId="0" borderId="28" xfId="2" applyNumberFormat="1" applyFont="1" applyBorder="1" applyAlignment="1">
      <alignment horizontal="center" vertical="center" wrapText="1"/>
    </xf>
    <xf numFmtId="9" fontId="0" fillId="0" borderId="18" xfId="1" applyFont="1" applyBorder="1" applyAlignment="1">
      <alignment horizontal="center" vertical="center" wrapText="1"/>
    </xf>
    <xf numFmtId="167" fontId="0" fillId="0" borderId="15" xfId="2" applyNumberFormat="1" applyFont="1" applyBorder="1" applyAlignment="1">
      <alignment horizontal="center" vertical="center" wrapText="1"/>
    </xf>
    <xf numFmtId="167" fontId="0" fillId="0" borderId="16" xfId="2" applyNumberFormat="1" applyFont="1" applyBorder="1" applyAlignment="1">
      <alignment horizontal="center" vertical="center" wrapText="1"/>
    </xf>
    <xf numFmtId="43" fontId="0" fillId="9" borderId="28" xfId="2" applyFont="1" applyFill="1" applyBorder="1" applyAlignment="1">
      <alignment horizontal="center" vertical="center" wrapText="1"/>
    </xf>
    <xf numFmtId="2" fontId="0" fillId="9" borderId="18" xfId="0" applyNumberFormat="1" applyFill="1" applyBorder="1" applyAlignment="1">
      <alignment horizontal="center" vertical="center" wrapText="1"/>
    </xf>
    <xf numFmtId="0" fontId="0" fillId="9" borderId="37" xfId="0" applyFill="1" applyBorder="1" applyAlignment="1">
      <alignment horizontal="center" vertical="center" wrapText="1"/>
    </xf>
    <xf numFmtId="43" fontId="0" fillId="0" borderId="28" xfId="2" applyFont="1" applyFill="1" applyBorder="1" applyAlignment="1">
      <alignment horizontal="center" vertical="center" wrapText="1"/>
    </xf>
    <xf numFmtId="2" fontId="0" fillId="0" borderId="28" xfId="0" applyNumberFormat="1" applyFill="1" applyBorder="1" applyAlignment="1">
      <alignment horizontal="center" vertical="center" wrapText="1"/>
    </xf>
    <xf numFmtId="2" fontId="0" fillId="0" borderId="28" xfId="0" applyNumberFormat="1" applyBorder="1" applyAlignment="1">
      <alignment horizontal="center" vertical="center"/>
    </xf>
    <xf numFmtId="2" fontId="0" fillId="0" borderId="74" xfId="0" applyNumberFormat="1" applyBorder="1" applyAlignment="1">
      <alignment horizontal="center" vertical="center" wrapText="1"/>
    </xf>
    <xf numFmtId="2" fontId="0" fillId="9" borderId="21" xfId="0" applyNumberFormat="1" applyFill="1" applyBorder="1" applyAlignment="1">
      <alignment horizontal="center" vertical="center" wrapText="1"/>
    </xf>
    <xf numFmtId="0" fontId="0" fillId="9" borderId="20" xfId="0" applyFill="1" applyBorder="1" applyAlignment="1">
      <alignment horizontal="center" vertical="center" wrapText="1"/>
    </xf>
    <xf numFmtId="167" fontId="0" fillId="0" borderId="60" xfId="2" applyNumberFormat="1" applyFont="1" applyBorder="1" applyAlignment="1">
      <alignment horizontal="center" vertical="center" wrapText="1"/>
    </xf>
    <xf numFmtId="167" fontId="0" fillId="0" borderId="61" xfId="2" applyNumberFormat="1" applyFont="1" applyBorder="1" applyAlignment="1">
      <alignment horizontal="center" vertical="center" wrapText="1"/>
    </xf>
    <xf numFmtId="167" fontId="0" fillId="0" borderId="25" xfId="2" applyNumberFormat="1" applyFont="1" applyBorder="1" applyAlignment="1">
      <alignment horizontal="center" vertical="center" wrapText="1"/>
    </xf>
    <xf numFmtId="0" fontId="0" fillId="15" borderId="42" xfId="0" applyFill="1" applyBorder="1" applyAlignment="1">
      <alignment horizontal="center" vertical="center"/>
    </xf>
    <xf numFmtId="166" fontId="0" fillId="0" borderId="0" xfId="2" applyNumberFormat="1" applyFont="1"/>
    <xf numFmtId="2" fontId="0" fillId="0" borderId="0" xfId="0" applyNumberFormat="1"/>
    <xf numFmtId="166" fontId="0" fillId="13" borderId="28" xfId="2" applyNumberFormat="1" applyFont="1" applyFill="1" applyBorder="1" applyAlignment="1">
      <alignment horizontal="center" vertical="center" wrapText="1"/>
    </xf>
    <xf numFmtId="166" fontId="0" fillId="9" borderId="28" xfId="2" applyNumberFormat="1" applyFont="1" applyFill="1" applyBorder="1" applyAlignment="1">
      <alignment horizontal="center" vertical="center" wrapText="1"/>
    </xf>
    <xf numFmtId="166" fontId="0" fillId="0" borderId="28" xfId="2" applyNumberFormat="1" applyFont="1" applyBorder="1" applyAlignment="1">
      <alignment horizontal="center" vertical="center"/>
    </xf>
    <xf numFmtId="166" fontId="0" fillId="0" borderId="28" xfId="2" applyNumberFormat="1" applyFont="1" applyFill="1" applyBorder="1" applyAlignment="1">
      <alignment horizontal="center" vertical="center" wrapText="1"/>
    </xf>
    <xf numFmtId="166" fontId="0" fillId="9" borderId="29" xfId="2" applyNumberFormat="1" applyFont="1" applyFill="1" applyBorder="1" applyAlignment="1">
      <alignment horizontal="center" vertical="center" wrapText="1"/>
    </xf>
    <xf numFmtId="3" fontId="0" fillId="0" borderId="58" xfId="0" applyNumberFormat="1" applyFill="1" applyBorder="1" applyAlignment="1">
      <alignment horizontal="center" vertical="center" wrapText="1"/>
    </xf>
    <xf numFmtId="3" fontId="0" fillId="0" borderId="58" xfId="0" applyNumberFormat="1" applyFill="1" applyBorder="1" applyAlignment="1">
      <alignment vertical="center" wrapText="1"/>
    </xf>
    <xf numFmtId="3" fontId="0" fillId="0" borderId="54" xfId="0" applyNumberFormat="1" applyFill="1" applyBorder="1" applyAlignment="1">
      <alignment horizontal="center" vertical="center" wrapText="1"/>
    </xf>
    <xf numFmtId="3" fontId="0" fillId="0" borderId="54" xfId="0" applyNumberFormat="1" applyFill="1" applyBorder="1" applyAlignment="1">
      <alignment vertical="center" wrapText="1"/>
    </xf>
    <xf numFmtId="3" fontId="0" fillId="0" borderId="46" xfId="0" applyNumberFormat="1" applyFill="1" applyBorder="1" applyAlignment="1">
      <alignment horizontal="center" vertical="center" wrapText="1"/>
    </xf>
    <xf numFmtId="3" fontId="0" fillId="0" borderId="46" xfId="0" applyNumberFormat="1" applyFill="1" applyBorder="1" applyAlignment="1">
      <alignment horizontal="center" wrapText="1"/>
    </xf>
    <xf numFmtId="0" fontId="7" fillId="7" borderId="11" xfId="0" applyFont="1" applyFill="1" applyBorder="1" applyAlignment="1">
      <alignment horizontal="center" vertical="center" wrapText="1"/>
    </xf>
    <xf numFmtId="0" fontId="14" fillId="5" borderId="62" xfId="0" applyFont="1" applyFill="1" applyBorder="1" applyAlignment="1">
      <alignment horizontal="center" vertical="center" wrapText="1"/>
    </xf>
    <xf numFmtId="0" fontId="1" fillId="11" borderId="45"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1" xfId="0" applyFont="1" applyFill="1" applyBorder="1" applyAlignment="1">
      <alignment horizontal="center"/>
    </xf>
    <xf numFmtId="0" fontId="1" fillId="11" borderId="0" xfId="0" applyFont="1" applyFill="1" applyBorder="1" applyAlignment="1">
      <alignment horizontal="center" vertical="center" wrapText="1"/>
    </xf>
    <xf numFmtId="9" fontId="0" fillId="0" borderId="20" xfId="0" applyNumberFormat="1" applyFill="1" applyBorder="1"/>
    <xf numFmtId="9" fontId="0" fillId="0" borderId="29" xfId="0" applyNumberFormat="1" applyFill="1" applyBorder="1"/>
    <xf numFmtId="9" fontId="0" fillId="0" borderId="21" xfId="0" applyNumberFormat="1" applyFill="1" applyBorder="1"/>
    <xf numFmtId="4" fontId="0" fillId="0" borderId="37" xfId="0" applyNumberFormat="1" applyFill="1" applyBorder="1"/>
    <xf numFmtId="0" fontId="0" fillId="0" borderId="42" xfId="0" applyFill="1" applyBorder="1" applyAlignment="1">
      <alignment horizontal="center" vertical="center"/>
    </xf>
    <xf numFmtId="0" fontId="0" fillId="0" borderId="20" xfId="0" applyFill="1" applyBorder="1" applyAlignment="1">
      <alignment horizontal="center" vertical="center" wrapText="1"/>
    </xf>
    <xf numFmtId="0" fontId="0" fillId="0" borderId="21" xfId="0" applyFill="1" applyBorder="1" applyAlignment="1">
      <alignment horizontal="center" vertical="center" wrapText="1"/>
    </xf>
    <xf numFmtId="0" fontId="0" fillId="9" borderId="70" xfId="0" applyFill="1" applyBorder="1" applyAlignment="1">
      <alignment horizontal="center"/>
    </xf>
    <xf numFmtId="0" fontId="0" fillId="9" borderId="11" xfId="0" applyFill="1" applyBorder="1" applyAlignment="1">
      <alignment horizontal="center" wrapText="1"/>
    </xf>
    <xf numFmtId="0" fontId="0" fillId="0" borderId="24" xfId="0" applyFill="1" applyBorder="1" applyAlignment="1">
      <alignment horizontal="center" vertical="center"/>
    </xf>
    <xf numFmtId="0" fontId="0" fillId="9" borderId="24" xfId="0" applyFill="1" applyBorder="1" applyAlignment="1">
      <alignment horizontal="center" vertical="center"/>
    </xf>
    <xf numFmtId="0" fontId="0" fillId="0" borderId="38" xfId="0" applyFill="1" applyBorder="1" applyAlignment="1">
      <alignment horizontal="center" vertical="center"/>
    </xf>
    <xf numFmtId="3" fontId="0" fillId="0" borderId="37" xfId="0" applyNumberFormat="1" applyBorder="1" applyAlignment="1">
      <alignment horizontal="center" vertical="center"/>
    </xf>
    <xf numFmtId="3" fontId="0" fillId="0" borderId="23" xfId="0" applyNumberFormat="1" applyBorder="1" applyAlignment="1">
      <alignment horizontal="center" vertical="center"/>
    </xf>
    <xf numFmtId="3" fontId="0" fillId="0" borderId="27" xfId="0" applyNumberFormat="1" applyBorder="1" applyAlignment="1">
      <alignment horizontal="center" vertical="center"/>
    </xf>
    <xf numFmtId="9" fontId="0" fillId="0" borderId="50" xfId="0" applyNumberFormat="1" applyBorder="1" applyAlignment="1">
      <alignment horizontal="center" vertical="center"/>
    </xf>
    <xf numFmtId="9" fontId="0" fillId="0" borderId="28" xfId="0" applyNumberFormat="1" applyBorder="1" applyAlignment="1">
      <alignment horizontal="center" vertical="center"/>
    </xf>
    <xf numFmtId="9" fontId="0" fillId="0" borderId="51" xfId="0" applyNumberFormat="1" applyBorder="1" applyAlignment="1">
      <alignment horizontal="center" vertical="center"/>
    </xf>
    <xf numFmtId="3" fontId="0" fillId="0" borderId="50" xfId="0" applyNumberFormat="1" applyBorder="1" applyAlignment="1">
      <alignment horizontal="center" vertical="center"/>
    </xf>
    <xf numFmtId="3" fontId="0" fillId="0" borderId="28" xfId="0" applyNumberFormat="1" applyBorder="1" applyAlignment="1">
      <alignment horizontal="center" vertical="center"/>
    </xf>
    <xf numFmtId="3" fontId="0" fillId="0" borderId="51" xfId="0" applyNumberFormat="1" applyBorder="1" applyAlignment="1">
      <alignment horizontal="center" vertical="center"/>
    </xf>
    <xf numFmtId="9" fontId="0" fillId="0" borderId="67" xfId="0" applyNumberFormat="1" applyBorder="1" applyAlignment="1">
      <alignment horizontal="center" vertical="center"/>
    </xf>
    <xf numFmtId="9" fontId="0" fillId="0" borderId="29" xfId="0" applyNumberFormat="1" applyBorder="1" applyAlignment="1">
      <alignment horizontal="center" vertical="center"/>
    </xf>
    <xf numFmtId="9" fontId="0" fillId="0" borderId="78" xfId="0" applyNumberFormat="1" applyBorder="1" applyAlignment="1">
      <alignment horizontal="center" vertical="center"/>
    </xf>
    <xf numFmtId="3" fontId="0" fillId="0" borderId="12" xfId="0" applyNumberFormat="1" applyBorder="1" applyAlignment="1">
      <alignment horizontal="center" vertical="center"/>
    </xf>
    <xf numFmtId="3" fontId="0" fillId="0" borderId="55" xfId="0" applyNumberFormat="1" applyBorder="1" applyAlignment="1">
      <alignment horizontal="center" vertical="center"/>
    </xf>
    <xf numFmtId="0" fontId="0" fillId="0" borderId="20" xfId="0" applyFont="1" applyFill="1" applyBorder="1" applyAlignment="1">
      <alignment horizontal="center" vertical="center"/>
    </xf>
    <xf numFmtId="44" fontId="0" fillId="0" borderId="29" xfId="0" applyNumberFormat="1" applyFont="1" applyFill="1" applyBorder="1" applyAlignment="1">
      <alignment horizontal="center" vertical="center"/>
    </xf>
    <xf numFmtId="44" fontId="0" fillId="0" borderId="21" xfId="0" applyNumberFormat="1" applyFont="1" applyFill="1" applyBorder="1" applyAlignment="1">
      <alignment horizontal="center" vertical="center"/>
    </xf>
    <xf numFmtId="3" fontId="0" fillId="0" borderId="20" xfId="0" applyNumberFormat="1" applyFont="1" applyFill="1" applyBorder="1" applyAlignment="1">
      <alignment horizontal="center" vertical="center"/>
    </xf>
    <xf numFmtId="10" fontId="17" fillId="0" borderId="76" xfId="1" applyNumberFormat="1" applyFont="1" applyFill="1" applyBorder="1" applyAlignment="1">
      <alignment horizontal="center" vertical="center"/>
    </xf>
    <xf numFmtId="10" fontId="17" fillId="0" borderId="75" xfId="1" applyNumberFormat="1" applyFont="1" applyFill="1" applyBorder="1" applyAlignment="1">
      <alignment horizontal="center" vertical="center"/>
    </xf>
    <xf numFmtId="10" fontId="17" fillId="0" borderId="74" xfId="1" applyNumberFormat="1" applyFont="1" applyFill="1" applyBorder="1" applyAlignment="1">
      <alignment horizontal="center" vertical="center"/>
    </xf>
    <xf numFmtId="3" fontId="0" fillId="0" borderId="14" xfId="0" applyNumberFormat="1" applyBorder="1" applyAlignment="1">
      <alignment horizontal="center" vertical="center" wrapText="1"/>
    </xf>
    <xf numFmtId="0" fontId="0" fillId="0" borderId="28" xfId="0" applyFill="1" applyBorder="1" applyAlignment="1">
      <alignment horizontal="center" vertical="center"/>
    </xf>
    <xf numFmtId="0" fontId="0" fillId="0" borderId="20" xfId="0"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166" fontId="0" fillId="0" borderId="37" xfId="0" applyNumberFormat="1" applyFont="1" applyFill="1" applyBorder="1" applyAlignment="1">
      <alignment horizontal="center"/>
    </xf>
    <xf numFmtId="2" fontId="0" fillId="0" borderId="19" xfId="0" applyNumberFormat="1" applyBorder="1"/>
    <xf numFmtId="1" fontId="0" fillId="0" borderId="28" xfId="0" applyNumberFormat="1" applyBorder="1" applyAlignment="1"/>
    <xf numFmtId="43" fontId="0" fillId="0" borderId="38" xfId="0" applyNumberFormat="1" applyBorder="1"/>
    <xf numFmtId="0" fontId="14" fillId="5" borderId="2"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 fillId="11" borderId="70"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7" xfId="0" applyFill="1" applyBorder="1" applyAlignment="1">
      <alignment horizontal="center" vertical="center" wrapText="1"/>
    </xf>
    <xf numFmtId="165" fontId="0" fillId="0" borderId="27" xfId="0" applyNumberFormat="1" applyBorder="1" applyAlignment="1">
      <alignment horizontal="center" vertical="center" wrapText="1"/>
    </xf>
    <xf numFmtId="3" fontId="0" fillId="0" borderId="16" xfId="0" applyNumberFormat="1" applyBorder="1" applyAlignment="1">
      <alignment horizontal="center" vertical="center" wrapText="1"/>
    </xf>
    <xf numFmtId="0" fontId="0" fillId="0" borderId="23" xfId="0" applyNumberFormat="1" applyBorder="1" applyAlignment="1">
      <alignment horizontal="center" vertical="center"/>
    </xf>
    <xf numFmtId="0" fontId="0" fillId="0" borderId="16" xfId="0" applyNumberFormat="1" applyBorder="1" applyAlignment="1">
      <alignment horizontal="center" vertical="center"/>
    </xf>
    <xf numFmtId="0" fontId="0" fillId="0" borderId="15" xfId="0" applyBorder="1" applyAlignment="1">
      <alignment horizontal="center" vertical="center" wrapText="1"/>
    </xf>
    <xf numFmtId="168" fontId="0" fillId="0" borderId="15" xfId="0" applyNumberFormat="1" applyBorder="1" applyAlignment="1">
      <alignment horizontal="center" vertical="center"/>
    </xf>
    <xf numFmtId="168" fontId="0" fillId="0" borderId="16" xfId="0" applyNumberFormat="1" applyBorder="1" applyAlignment="1">
      <alignment horizontal="center" vertical="center"/>
    </xf>
    <xf numFmtId="168" fontId="0" fillId="0" borderId="19" xfId="0" applyNumberFormat="1" applyBorder="1" applyAlignment="1">
      <alignment horizontal="center" vertical="center" wrapText="1"/>
    </xf>
    <xf numFmtId="168" fontId="0" fillId="0" borderId="28" xfId="0" applyNumberFormat="1" applyBorder="1" applyAlignment="1">
      <alignment horizontal="center" vertical="center" wrapText="1"/>
    </xf>
    <xf numFmtId="0" fontId="0" fillId="0" borderId="17" xfId="0" applyBorder="1" applyAlignment="1">
      <alignment horizontal="center" vertical="center" wrapText="1"/>
    </xf>
    <xf numFmtId="9" fontId="0" fillId="0" borderId="16" xfId="1" applyFont="1" applyBorder="1" applyAlignment="1">
      <alignment horizontal="center" vertical="center" wrapText="1"/>
    </xf>
    <xf numFmtId="3" fontId="0" fillId="0" borderId="15" xfId="0" applyNumberFormat="1" applyBorder="1" applyAlignment="1">
      <alignment horizontal="center" vertical="center"/>
    </xf>
    <xf numFmtId="0" fontId="0" fillId="0" borderId="16" xfId="0" applyBorder="1" applyAlignment="1">
      <alignment horizontal="center" vertical="center"/>
    </xf>
    <xf numFmtId="165" fontId="0" fillId="0" borderId="15" xfId="0" applyNumberFormat="1" applyBorder="1" applyAlignment="1">
      <alignment horizontal="center" vertical="center"/>
    </xf>
    <xf numFmtId="165" fontId="0" fillId="0" borderId="27" xfId="0" applyNumberFormat="1" applyBorder="1" applyAlignment="1">
      <alignment horizontal="center" vertical="center"/>
    </xf>
    <xf numFmtId="165" fontId="0" fillId="0" borderId="41" xfId="0" applyNumberFormat="1" applyBorder="1" applyAlignment="1">
      <alignment horizontal="center" vertical="center"/>
    </xf>
    <xf numFmtId="0" fontId="0" fillId="0" borderId="15" xfId="0" applyBorder="1" applyAlignment="1">
      <alignment horizontal="center" vertical="center"/>
    </xf>
    <xf numFmtId="2" fontId="0" fillId="0" borderId="15" xfId="0" applyNumberFormat="1" applyBorder="1" applyAlignment="1">
      <alignment horizontal="center" vertical="center"/>
    </xf>
    <xf numFmtId="2" fontId="0" fillId="0" borderId="27" xfId="0" applyNumberFormat="1" applyBorder="1" applyAlignment="1">
      <alignment horizontal="center" vertical="center"/>
    </xf>
    <xf numFmtId="165" fontId="0" fillId="0" borderId="16" xfId="0" applyNumberFormat="1" applyBorder="1" applyAlignment="1">
      <alignment horizontal="center" vertical="center"/>
    </xf>
    <xf numFmtId="0" fontId="0" fillId="0" borderId="58" xfId="0" applyBorder="1" applyAlignment="1">
      <alignment wrapText="1"/>
    </xf>
    <xf numFmtId="3" fontId="0" fillId="0" borderId="18" xfId="0" applyNumberFormat="1" applyBorder="1" applyAlignment="1">
      <alignment horizontal="center" vertical="center" wrapText="1"/>
    </xf>
    <xf numFmtId="0" fontId="0" fillId="0" borderId="50" xfId="0" applyNumberFormat="1" applyBorder="1" applyAlignment="1">
      <alignment horizontal="center" vertical="center"/>
    </xf>
    <xf numFmtId="0" fontId="0" fillId="0" borderId="18" xfId="0" applyNumberFormat="1" applyBorder="1" applyAlignment="1">
      <alignment horizontal="center" vertical="center"/>
    </xf>
    <xf numFmtId="168" fontId="0" fillId="0" borderId="37" xfId="0" applyNumberFormat="1" applyBorder="1" applyAlignment="1">
      <alignment horizontal="center" vertical="center"/>
    </xf>
    <xf numFmtId="168" fontId="0" fillId="0" borderId="18" xfId="0" applyNumberFormat="1" applyBorder="1" applyAlignment="1">
      <alignment horizontal="center" vertical="center"/>
    </xf>
    <xf numFmtId="169" fontId="0" fillId="0" borderId="19" xfId="0" applyNumberFormat="1" applyBorder="1" applyAlignment="1">
      <alignment horizontal="center" vertical="center" wrapText="1"/>
    </xf>
    <xf numFmtId="169" fontId="0" fillId="0" borderId="38" xfId="0" applyNumberFormat="1" applyBorder="1" applyAlignment="1">
      <alignment horizontal="center" vertical="center" wrapText="1"/>
    </xf>
    <xf numFmtId="167" fontId="0" fillId="0" borderId="37" xfId="2" applyNumberFormat="1" applyFont="1" applyBorder="1" applyAlignment="1">
      <alignment horizontal="center" vertical="center" wrapText="1"/>
    </xf>
    <xf numFmtId="167" fontId="0" fillId="0" borderId="18" xfId="2" applyNumberFormat="1" applyFont="1" applyBorder="1" applyAlignment="1">
      <alignment horizontal="center" vertical="center" wrapText="1"/>
    </xf>
    <xf numFmtId="0" fontId="0" fillId="0" borderId="18" xfId="0" applyBorder="1" applyAlignment="1">
      <alignment horizontal="center" vertical="center"/>
    </xf>
    <xf numFmtId="165" fontId="0" fillId="0" borderId="37" xfId="0" applyNumberFormat="1" applyBorder="1" applyAlignment="1">
      <alignment horizontal="center" vertical="center"/>
    </xf>
    <xf numFmtId="165" fontId="0" fillId="0" borderId="28" xfId="0" applyNumberFormat="1" applyBorder="1" applyAlignment="1">
      <alignment horizontal="center" vertical="center"/>
    </xf>
    <xf numFmtId="165" fontId="0" fillId="0" borderId="38" xfId="0" applyNumberFormat="1" applyBorder="1" applyAlignment="1">
      <alignment horizontal="center" vertical="center"/>
    </xf>
    <xf numFmtId="0" fontId="0" fillId="0" borderId="37" xfId="0" applyBorder="1" applyAlignment="1">
      <alignment horizontal="center" vertical="center"/>
    </xf>
    <xf numFmtId="2" fontId="0" fillId="0" borderId="37" xfId="0" applyNumberFormat="1" applyBorder="1" applyAlignment="1">
      <alignment horizontal="center" vertical="center"/>
    </xf>
    <xf numFmtId="165" fontId="0" fillId="0" borderId="18" xfId="0" applyNumberFormat="1" applyBorder="1" applyAlignment="1">
      <alignment horizontal="center" vertical="center"/>
    </xf>
    <xf numFmtId="0" fontId="0" fillId="0" borderId="54" xfId="0" applyBorder="1" applyAlignment="1">
      <alignment wrapText="1"/>
    </xf>
    <xf numFmtId="0" fontId="0" fillId="0" borderId="18" xfId="0" applyBorder="1" applyAlignment="1">
      <alignment horizontal="center"/>
    </xf>
    <xf numFmtId="168" fontId="0" fillId="0" borderId="37" xfId="0" applyNumberFormat="1" applyBorder="1" applyAlignment="1">
      <alignment horizontal="center" vertical="center" wrapText="1"/>
    </xf>
    <xf numFmtId="168" fontId="0" fillId="0" borderId="18" xfId="0" applyNumberFormat="1" applyBorder="1" applyAlignment="1">
      <alignment horizontal="center" vertical="center" wrapText="1"/>
    </xf>
    <xf numFmtId="167" fontId="0" fillId="0" borderId="37" xfId="0" applyNumberFormat="1" applyBorder="1" applyAlignment="1">
      <alignment horizontal="center" vertical="center" wrapText="1"/>
    </xf>
    <xf numFmtId="167" fontId="0" fillId="0" borderId="18" xfId="0" applyNumberFormat="1" applyBorder="1" applyAlignment="1">
      <alignment horizontal="center" vertical="center" wrapText="1"/>
    </xf>
    <xf numFmtId="165" fontId="0" fillId="9" borderId="28" xfId="0" applyNumberFormat="1" applyFill="1" applyBorder="1" applyAlignment="1">
      <alignment horizontal="center" vertical="center" wrapText="1"/>
    </xf>
    <xf numFmtId="3" fontId="0" fillId="9" borderId="18" xfId="0" applyNumberFormat="1" applyFill="1" applyBorder="1" applyAlignment="1">
      <alignment horizontal="center" vertical="center" wrapText="1"/>
    </xf>
    <xf numFmtId="0" fontId="0" fillId="9" borderId="50" xfId="0" applyFill="1" applyBorder="1" applyAlignment="1">
      <alignment horizontal="center" vertical="center" wrapText="1"/>
    </xf>
    <xf numFmtId="168" fontId="0" fillId="9" borderId="37" xfId="0" applyNumberFormat="1" applyFill="1" applyBorder="1" applyAlignment="1">
      <alignment horizontal="center" vertical="center" wrapText="1"/>
    </xf>
    <xf numFmtId="168" fontId="0" fillId="9" borderId="18" xfId="0" applyNumberFormat="1" applyFill="1" applyBorder="1" applyAlignment="1">
      <alignment horizontal="center" vertical="center" wrapText="1"/>
    </xf>
    <xf numFmtId="168" fontId="0" fillId="9" borderId="19" xfId="0" applyNumberFormat="1" applyFill="1" applyBorder="1" applyAlignment="1">
      <alignment horizontal="center" vertical="center" wrapText="1"/>
    </xf>
    <xf numFmtId="168" fontId="0" fillId="9" borderId="28" xfId="0" applyNumberFormat="1" applyFill="1" applyBorder="1" applyAlignment="1">
      <alignment horizontal="center" vertical="center" wrapText="1"/>
    </xf>
    <xf numFmtId="0" fontId="0" fillId="9" borderId="38" xfId="0" applyFill="1" applyBorder="1" applyAlignment="1">
      <alignment horizontal="center" vertical="center" wrapText="1"/>
    </xf>
    <xf numFmtId="9" fontId="0" fillId="9" borderId="18" xfId="1" applyFont="1" applyFill="1" applyBorder="1" applyAlignment="1">
      <alignment horizontal="center" vertical="center" wrapText="1"/>
    </xf>
    <xf numFmtId="3" fontId="0" fillId="9" borderId="37" xfId="0" applyNumberFormat="1" applyFill="1" applyBorder="1" applyAlignment="1">
      <alignment horizontal="center" vertical="center" wrapText="1"/>
    </xf>
    <xf numFmtId="3" fontId="0" fillId="9" borderId="28" xfId="0" applyNumberFormat="1" applyFill="1" applyBorder="1" applyAlignment="1">
      <alignment horizontal="center" vertical="center" wrapText="1"/>
    </xf>
    <xf numFmtId="165" fontId="0" fillId="9" borderId="37" xfId="0" applyNumberFormat="1" applyFill="1" applyBorder="1" applyAlignment="1">
      <alignment horizontal="center" vertical="center" wrapText="1"/>
    </xf>
    <xf numFmtId="165" fontId="0" fillId="9" borderId="18" xfId="0" applyNumberFormat="1" applyFill="1" applyBorder="1" applyAlignment="1">
      <alignment horizontal="center" vertical="center" wrapText="1"/>
    </xf>
    <xf numFmtId="0" fontId="0" fillId="9" borderId="54" xfId="0" applyFill="1" applyBorder="1" applyAlignment="1">
      <alignment horizontal="center" vertical="center" wrapText="1"/>
    </xf>
    <xf numFmtId="0" fontId="20" fillId="0" borderId="38" xfId="2" applyNumberFormat="1" applyFont="1" applyFill="1" applyBorder="1" applyAlignment="1">
      <alignment horizontal="center" vertical="center"/>
    </xf>
    <xf numFmtId="0" fontId="20" fillId="0" borderId="18" xfId="2" applyNumberFormat="1" applyFont="1" applyFill="1" applyBorder="1" applyAlignment="1">
      <alignment horizontal="center" vertical="center"/>
    </xf>
    <xf numFmtId="10" fontId="0" fillId="0" borderId="28" xfId="1" applyNumberFormat="1" applyFont="1" applyBorder="1" applyAlignment="1">
      <alignment horizontal="center" vertical="center"/>
    </xf>
    <xf numFmtId="0" fontId="0" fillId="0" borderId="54" xfId="0" quotePrefix="1" applyBorder="1" applyAlignment="1">
      <alignment wrapText="1"/>
    </xf>
    <xf numFmtId="168" fontId="0" fillId="0" borderId="19" xfId="0" applyNumberFormat="1" applyBorder="1" applyAlignment="1">
      <alignment horizontal="center" vertical="center"/>
    </xf>
    <xf numFmtId="168" fontId="0" fillId="0" borderId="28" xfId="0" applyNumberFormat="1" applyBorder="1" applyAlignment="1">
      <alignment horizontal="center" vertical="center"/>
    </xf>
    <xf numFmtId="2" fontId="0" fillId="0" borderId="37" xfId="0" applyNumberFormat="1" applyFill="1" applyBorder="1" applyAlignment="1">
      <alignment horizontal="center" vertical="center"/>
    </xf>
    <xf numFmtId="2" fontId="0" fillId="0" borderId="28" xfId="0" applyNumberFormat="1" applyFill="1" applyBorder="1" applyAlignment="1">
      <alignment horizontal="center" vertical="center"/>
    </xf>
    <xf numFmtId="165" fontId="0" fillId="0" borderId="28" xfId="0" applyNumberFormat="1" applyFill="1" applyBorder="1" applyAlignment="1">
      <alignment horizontal="center" vertical="center"/>
    </xf>
    <xf numFmtId="165" fontId="0" fillId="0" borderId="18" xfId="0" applyNumberFormat="1" applyFill="1" applyBorder="1" applyAlignment="1">
      <alignment horizontal="center" vertical="center"/>
    </xf>
    <xf numFmtId="0" fontId="0" fillId="0" borderId="54" xfId="0" applyFill="1" applyBorder="1" applyAlignment="1">
      <alignment wrapText="1"/>
    </xf>
    <xf numFmtId="0" fontId="0" fillId="16" borderId="28" xfId="0" applyFill="1" applyBorder="1" applyAlignment="1">
      <alignment horizontal="center" vertical="center" wrapText="1"/>
    </xf>
    <xf numFmtId="165" fontId="0" fillId="16" borderId="28" xfId="0" applyNumberFormat="1" applyFill="1" applyBorder="1" applyAlignment="1">
      <alignment horizontal="center" vertical="center" wrapText="1"/>
    </xf>
    <xf numFmtId="3" fontId="0" fillId="16" borderId="18" xfId="0" applyNumberFormat="1" applyFill="1" applyBorder="1" applyAlignment="1">
      <alignment horizontal="center" vertical="center" wrapText="1"/>
    </xf>
    <xf numFmtId="0" fontId="0" fillId="16" borderId="50" xfId="0" applyFill="1" applyBorder="1" applyAlignment="1">
      <alignment horizontal="center" vertical="center" wrapText="1"/>
    </xf>
    <xf numFmtId="0" fontId="0" fillId="16" borderId="18" xfId="0" applyFill="1" applyBorder="1" applyAlignment="1">
      <alignment horizontal="center" vertical="center" wrapText="1"/>
    </xf>
    <xf numFmtId="0" fontId="0" fillId="16" borderId="37" xfId="0" applyFill="1" applyBorder="1" applyAlignment="1">
      <alignment horizontal="center" vertical="center" wrapText="1"/>
    </xf>
    <xf numFmtId="168" fontId="0" fillId="16" borderId="37" xfId="0" applyNumberFormat="1" applyFill="1" applyBorder="1" applyAlignment="1">
      <alignment horizontal="center" vertical="center" wrapText="1"/>
    </xf>
    <xf numFmtId="168" fontId="0" fillId="16" borderId="18" xfId="0" applyNumberFormat="1" applyFill="1" applyBorder="1" applyAlignment="1">
      <alignment horizontal="center" vertical="center" wrapText="1"/>
    </xf>
    <xf numFmtId="168" fontId="0" fillId="16" borderId="19" xfId="0" applyNumberFormat="1" applyFill="1" applyBorder="1" applyAlignment="1">
      <alignment horizontal="center" vertical="center" wrapText="1"/>
    </xf>
    <xf numFmtId="168" fontId="0" fillId="16" borderId="28" xfId="0" applyNumberFormat="1" applyFill="1" applyBorder="1" applyAlignment="1">
      <alignment horizontal="center" vertical="center" wrapText="1"/>
    </xf>
    <xf numFmtId="0" fontId="0" fillId="16" borderId="19" xfId="0" applyFill="1" applyBorder="1" applyAlignment="1">
      <alignment horizontal="center" vertical="center" wrapText="1"/>
    </xf>
    <xf numFmtId="0" fontId="0" fillId="16" borderId="38" xfId="0" applyFill="1" applyBorder="1" applyAlignment="1">
      <alignment horizontal="center" vertical="center" wrapText="1"/>
    </xf>
    <xf numFmtId="9" fontId="0" fillId="16" borderId="18" xfId="1" applyFont="1" applyFill="1" applyBorder="1" applyAlignment="1">
      <alignment horizontal="center" vertical="center" wrapText="1"/>
    </xf>
    <xf numFmtId="3" fontId="0" fillId="16" borderId="37" xfId="0" applyNumberFormat="1" applyFill="1" applyBorder="1" applyAlignment="1">
      <alignment horizontal="center" vertical="center"/>
    </xf>
    <xf numFmtId="3" fontId="0" fillId="16" borderId="28" xfId="0" applyNumberFormat="1" applyFill="1" applyBorder="1" applyAlignment="1">
      <alignment horizontal="center" vertical="center"/>
    </xf>
    <xf numFmtId="0" fontId="0" fillId="16" borderId="18" xfId="0" applyFill="1" applyBorder="1" applyAlignment="1">
      <alignment horizontal="center" vertical="center"/>
    </xf>
    <xf numFmtId="165" fontId="0" fillId="16" borderId="37" xfId="0" applyNumberFormat="1" applyFill="1" applyBorder="1" applyAlignment="1">
      <alignment horizontal="center" vertical="center"/>
    </xf>
    <xf numFmtId="165" fontId="0" fillId="16" borderId="28" xfId="0" applyNumberFormat="1" applyFill="1" applyBorder="1" applyAlignment="1">
      <alignment horizontal="center" vertical="center"/>
    </xf>
    <xf numFmtId="165" fontId="0" fillId="16" borderId="18" xfId="0" applyNumberFormat="1" applyFill="1" applyBorder="1" applyAlignment="1">
      <alignment horizontal="center" vertical="center"/>
    </xf>
    <xf numFmtId="0" fontId="0" fillId="16" borderId="37" xfId="0" applyFill="1" applyBorder="1" applyAlignment="1">
      <alignment horizontal="center" vertical="center"/>
    </xf>
    <xf numFmtId="0" fontId="0" fillId="16" borderId="28" xfId="0" applyFill="1" applyBorder="1" applyAlignment="1">
      <alignment horizontal="center" vertical="center"/>
    </xf>
    <xf numFmtId="3" fontId="0" fillId="16" borderId="18" xfId="0" applyNumberFormat="1" applyFill="1" applyBorder="1" applyAlignment="1">
      <alignment horizontal="center" vertical="center"/>
    </xf>
    <xf numFmtId="2" fontId="0" fillId="16" borderId="37" xfId="0" applyNumberFormat="1" applyFill="1" applyBorder="1" applyAlignment="1">
      <alignment horizontal="center" vertical="center"/>
    </xf>
    <xf numFmtId="2" fontId="0" fillId="16" borderId="28" xfId="0" applyNumberFormat="1" applyFill="1" applyBorder="1" applyAlignment="1">
      <alignment horizontal="center" vertical="center"/>
    </xf>
    <xf numFmtId="0" fontId="0" fillId="16" borderId="54" xfId="0" applyFill="1" applyBorder="1" applyAlignment="1">
      <alignment wrapText="1"/>
    </xf>
    <xf numFmtId="0" fontId="0" fillId="16" borderId="37" xfId="0" applyFill="1" applyBorder="1" applyAlignment="1">
      <alignment horizontal="center"/>
    </xf>
    <xf numFmtId="0" fontId="0" fillId="16" borderId="28" xfId="0" applyFill="1" applyBorder="1" applyAlignment="1">
      <alignment horizontal="center"/>
    </xf>
    <xf numFmtId="0" fontId="0" fillId="16" borderId="18" xfId="0" applyFill="1" applyBorder="1" applyAlignment="1">
      <alignment horizontal="center"/>
    </xf>
    <xf numFmtId="0" fontId="0" fillId="16" borderId="54" xfId="0" applyFill="1" applyBorder="1" applyAlignment="1">
      <alignment horizontal="center"/>
    </xf>
    <xf numFmtId="165" fontId="0" fillId="9" borderId="29" xfId="0" applyNumberFormat="1" applyFill="1" applyBorder="1" applyAlignment="1">
      <alignment horizontal="center" vertical="center" wrapText="1"/>
    </xf>
    <xf numFmtId="3" fontId="0" fillId="9" borderId="21" xfId="0" applyNumberFormat="1" applyFill="1" applyBorder="1" applyAlignment="1">
      <alignment horizontal="center" vertical="center" wrapText="1"/>
    </xf>
    <xf numFmtId="168" fontId="0" fillId="9" borderId="20" xfId="0" applyNumberFormat="1" applyFill="1" applyBorder="1" applyAlignment="1">
      <alignment horizontal="center" vertical="center" wrapText="1"/>
    </xf>
    <xf numFmtId="168" fontId="0" fillId="9" borderId="21" xfId="0" applyNumberFormat="1" applyFill="1" applyBorder="1" applyAlignment="1">
      <alignment horizontal="center" vertical="center" wrapText="1"/>
    </xf>
    <xf numFmtId="0" fontId="0" fillId="9" borderId="22" xfId="0" applyFill="1" applyBorder="1" applyAlignment="1">
      <alignment horizontal="center" vertical="center" wrapText="1"/>
    </xf>
    <xf numFmtId="0" fontId="0" fillId="9" borderId="30" xfId="0" applyFill="1" applyBorder="1" applyAlignment="1">
      <alignment horizontal="center" vertical="center" wrapText="1"/>
    </xf>
    <xf numFmtId="3" fontId="0" fillId="9" borderId="20" xfId="0" applyNumberFormat="1" applyFill="1" applyBorder="1" applyAlignment="1">
      <alignment horizontal="center" vertical="center" wrapText="1"/>
    </xf>
    <xf numFmtId="3" fontId="0" fillId="9" borderId="29" xfId="0" applyNumberFormat="1" applyFill="1" applyBorder="1" applyAlignment="1">
      <alignment horizontal="center" vertical="center" wrapText="1"/>
    </xf>
    <xf numFmtId="165" fontId="0" fillId="9" borderId="20" xfId="0" applyNumberFormat="1" applyFill="1" applyBorder="1" applyAlignment="1">
      <alignment horizontal="center" vertical="center" wrapText="1"/>
    </xf>
    <xf numFmtId="165" fontId="0" fillId="9" borderId="21" xfId="0" applyNumberFormat="1" applyFill="1" applyBorder="1" applyAlignment="1">
      <alignment horizontal="center" vertical="center" wrapText="1"/>
    </xf>
    <xf numFmtId="0" fontId="0" fillId="9" borderId="64" xfId="0" applyFill="1" applyBorder="1" applyAlignment="1">
      <alignment horizontal="center" vertical="center" wrapText="1"/>
    </xf>
    <xf numFmtId="0" fontId="0" fillId="0" borderId="9" xfId="0" applyBorder="1" applyAlignment="1">
      <alignment vertical="center" wrapText="1"/>
    </xf>
    <xf numFmtId="3" fontId="0" fillId="0" borderId="20" xfId="0" applyNumberFormat="1" applyBorder="1" applyAlignment="1">
      <alignment horizontal="center" vertical="center" wrapText="1"/>
    </xf>
    <xf numFmtId="3" fontId="0" fillId="0" borderId="21" xfId="0" applyNumberFormat="1" applyBorder="1" applyAlignment="1">
      <alignment horizontal="center" vertical="center" wrapText="1"/>
    </xf>
    <xf numFmtId="168" fontId="0" fillId="0" borderId="9" xfId="0" applyNumberFormat="1" applyBorder="1" applyAlignment="1">
      <alignment horizontal="center" vertical="center" wrapText="1"/>
    </xf>
    <xf numFmtId="168" fontId="0" fillId="0" borderId="8" xfId="0" applyNumberFormat="1" applyBorder="1" applyAlignment="1">
      <alignment horizontal="center" vertical="center" wrapText="1"/>
    </xf>
    <xf numFmtId="3" fontId="0" fillId="0" borderId="72" xfId="0" applyNumberFormat="1" applyBorder="1" applyAlignment="1">
      <alignment horizontal="center" vertical="center" wrapText="1"/>
    </xf>
    <xf numFmtId="0" fontId="0" fillId="9" borderId="9" xfId="0" applyFill="1" applyBorder="1" applyAlignment="1">
      <alignment horizontal="center"/>
    </xf>
    <xf numFmtId="0" fontId="0" fillId="9" borderId="10" xfId="0" applyFill="1" applyBorder="1" applyAlignment="1">
      <alignment horizontal="center"/>
    </xf>
    <xf numFmtId="2" fontId="0" fillId="0" borderId="52" xfId="0" applyNumberFormat="1" applyBorder="1"/>
    <xf numFmtId="165" fontId="0" fillId="0" borderId="25" xfId="0" applyNumberFormat="1" applyBorder="1" applyAlignment="1">
      <alignment horizontal="center" vertical="center" wrapText="1"/>
    </xf>
    <xf numFmtId="0" fontId="0" fillId="0" borderId="24" xfId="0" applyFont="1" applyFill="1" applyBorder="1" applyAlignment="1">
      <alignment horizontal="center"/>
    </xf>
    <xf numFmtId="0" fontId="0" fillId="0" borderId="42" xfId="0" applyFont="1" applyFill="1" applyBorder="1" applyAlignment="1">
      <alignment horizontal="center"/>
    </xf>
    <xf numFmtId="0" fontId="1" fillId="11" borderId="36" xfId="0" applyFont="1" applyFill="1" applyBorder="1" applyAlignment="1">
      <alignment horizontal="center" vertical="center" wrapText="1"/>
    </xf>
    <xf numFmtId="0" fontId="1" fillId="11" borderId="27" xfId="0" applyFont="1" applyFill="1" applyBorder="1" applyAlignment="1">
      <alignment horizontal="center" vertical="center" wrapText="1"/>
    </xf>
    <xf numFmtId="0" fontId="1" fillId="11" borderId="16" xfId="0" applyFont="1" applyFill="1" applyBorder="1" applyAlignment="1">
      <alignment horizontal="center" vertical="center" wrapText="1"/>
    </xf>
    <xf numFmtId="0" fontId="1" fillId="11" borderId="52" xfId="0" applyFont="1" applyFill="1" applyBorder="1" applyAlignment="1">
      <alignment horizontal="center" vertical="center" wrapText="1"/>
    </xf>
    <xf numFmtId="0" fontId="1" fillId="11" borderId="28" xfId="0" applyFont="1" applyFill="1" applyBorder="1" applyAlignment="1">
      <alignment horizontal="center" vertical="center" wrapText="1"/>
    </xf>
    <xf numFmtId="0" fontId="1" fillId="11" borderId="18" xfId="0" applyFont="1" applyFill="1" applyBorder="1" applyAlignment="1">
      <alignment horizontal="center" vertical="center" wrapText="1"/>
    </xf>
    <xf numFmtId="0" fontId="0" fillId="0" borderId="0" xfId="0" applyAlignment="1">
      <alignment horizontal="right"/>
    </xf>
    <xf numFmtId="0" fontId="0" fillId="0" borderId="37" xfId="0" applyFont="1" applyFill="1" applyBorder="1" applyAlignment="1">
      <alignment horizontal="center" vertical="center"/>
    </xf>
    <xf numFmtId="164" fontId="0" fillId="9" borderId="79" xfId="0" applyNumberFormat="1" applyFill="1" applyBorder="1"/>
    <xf numFmtId="164" fontId="1" fillId="9" borderId="87" xfId="0" applyNumberFormat="1" applyFont="1" applyFill="1" applyBorder="1"/>
    <xf numFmtId="164" fontId="0" fillId="0" borderId="79" xfId="0" applyNumberFormat="1" applyFill="1" applyBorder="1"/>
    <xf numFmtId="164" fontId="1" fillId="0" borderId="64" xfId="0" applyNumberFormat="1" applyFont="1" applyFill="1" applyBorder="1"/>
    <xf numFmtId="164" fontId="1" fillId="0" borderId="87" xfId="0" applyNumberFormat="1" applyFont="1" applyFill="1" applyBorder="1"/>
    <xf numFmtId="164" fontId="1" fillId="9" borderId="64" xfId="0" applyNumberFormat="1" applyFont="1" applyFill="1" applyBorder="1"/>
    <xf numFmtId="0" fontId="1" fillId="0" borderId="28" xfId="0" applyFont="1" applyBorder="1" applyAlignment="1">
      <alignment horizontal="center"/>
    </xf>
    <xf numFmtId="0" fontId="23" fillId="0" borderId="0" xfId="0" applyFont="1"/>
    <xf numFmtId="0" fontId="24" fillId="0" borderId="55" xfId="0" applyFont="1" applyBorder="1"/>
    <xf numFmtId="0" fontId="23" fillId="0" borderId="5" xfId="0" applyFont="1" applyBorder="1" applyAlignment="1">
      <alignment wrapText="1"/>
    </xf>
    <xf numFmtId="0" fontId="23" fillId="0" borderId="45" xfId="0" applyFont="1" applyBorder="1" applyAlignment="1">
      <alignment wrapText="1"/>
    </xf>
    <xf numFmtId="0" fontId="24" fillId="17" borderId="2" xfId="0" applyFont="1" applyFill="1" applyBorder="1" applyAlignment="1">
      <alignment horizontal="center" vertical="center" wrapText="1"/>
    </xf>
    <xf numFmtId="0" fontId="24" fillId="17" borderId="32" xfId="0" applyFont="1" applyFill="1" applyBorder="1" applyAlignment="1">
      <alignment horizontal="center" vertical="center" wrapText="1"/>
    </xf>
    <xf numFmtId="0" fontId="24" fillId="17" borderId="73" xfId="0" applyFont="1" applyFill="1" applyBorder="1" applyAlignment="1">
      <alignment horizontal="center" vertical="center" wrapText="1"/>
    </xf>
    <xf numFmtId="0" fontId="24" fillId="17" borderId="33" xfId="0" applyFont="1" applyFill="1" applyBorder="1" applyAlignment="1">
      <alignment horizontal="center" vertical="center" wrapText="1"/>
    </xf>
    <xf numFmtId="0" fontId="24" fillId="18" borderId="28" xfId="0" applyFont="1" applyFill="1" applyBorder="1" applyAlignment="1">
      <alignment horizontal="center" vertical="center" wrapText="1"/>
    </xf>
    <xf numFmtId="0" fontId="24" fillId="19" borderId="28" xfId="0" applyFont="1" applyFill="1" applyBorder="1" applyAlignment="1">
      <alignment horizontal="center" vertical="center" wrapText="1"/>
    </xf>
    <xf numFmtId="0" fontId="24" fillId="20" borderId="28" xfId="0" applyFont="1" applyFill="1" applyBorder="1" applyAlignment="1">
      <alignment horizontal="center" vertical="center" wrapText="1"/>
    </xf>
    <xf numFmtId="0" fontId="24" fillId="21" borderId="28" xfId="0" applyFont="1" applyFill="1" applyBorder="1" applyAlignment="1">
      <alignment vertical="center" wrapText="1"/>
    </xf>
    <xf numFmtId="0" fontId="23" fillId="0" borderId="28" xfId="0" applyFont="1" applyBorder="1" applyAlignment="1">
      <alignment horizontal="center" vertical="center" wrapText="1"/>
    </xf>
    <xf numFmtId="0" fontId="23" fillId="0" borderId="28" xfId="0" applyFont="1" applyBorder="1"/>
    <xf numFmtId="2" fontId="0" fillId="0" borderId="24" xfId="0" applyNumberFormat="1" applyFill="1" applyBorder="1"/>
    <xf numFmtId="2" fontId="0" fillId="0" borderId="37" xfId="0" applyNumberFormat="1" applyFill="1" applyBorder="1"/>
    <xf numFmtId="2" fontId="0" fillId="0" borderId="76" xfId="0" applyNumberFormat="1" applyBorder="1"/>
    <xf numFmtId="165" fontId="0" fillId="0" borderId="24" xfId="0" applyNumberFormat="1" applyFill="1" applyBorder="1"/>
    <xf numFmtId="165" fontId="0" fillId="0" borderId="37" xfId="0" applyNumberFormat="1" applyFill="1" applyBorder="1"/>
    <xf numFmtId="2" fontId="0" fillId="0" borderId="41" xfId="0" applyNumberFormat="1" applyFill="1" applyBorder="1"/>
    <xf numFmtId="2" fontId="0" fillId="0" borderId="48" xfId="0" applyNumberFormat="1" applyFill="1" applyBorder="1"/>
    <xf numFmtId="2" fontId="0" fillId="0" borderId="19" xfId="0" applyNumberFormat="1" applyFill="1" applyBorder="1"/>
    <xf numFmtId="165" fontId="0" fillId="0" borderId="63" xfId="0" applyNumberFormat="1" applyFill="1" applyBorder="1"/>
    <xf numFmtId="165" fontId="0" fillId="0" borderId="28" xfId="0" applyNumberFormat="1" applyFill="1" applyBorder="1"/>
    <xf numFmtId="165" fontId="0" fillId="0" borderId="41" xfId="0" applyNumberFormat="1" applyFill="1" applyBorder="1"/>
    <xf numFmtId="165" fontId="0" fillId="0" borderId="38" xfId="0" applyNumberFormat="1" applyFill="1" applyBorder="1"/>
    <xf numFmtId="165" fontId="0" fillId="0" borderId="59" xfId="0" applyNumberFormat="1" applyFill="1" applyBorder="1"/>
    <xf numFmtId="2" fontId="0" fillId="0" borderId="63" xfId="0" applyNumberFormat="1" applyFill="1" applyBorder="1"/>
    <xf numFmtId="2" fontId="0" fillId="0" borderId="28" xfId="0" applyNumberFormat="1" applyFill="1" applyBorder="1"/>
    <xf numFmtId="44" fontId="0" fillId="22" borderId="27" xfId="0" applyNumberFormat="1" applyFont="1" applyFill="1" applyBorder="1" applyAlignment="1">
      <alignment horizontal="center" vertical="center"/>
    </xf>
    <xf numFmtId="164" fontId="0" fillId="22" borderId="79" xfId="0" applyNumberFormat="1" applyFill="1" applyBorder="1"/>
    <xf numFmtId="164" fontId="1" fillId="22" borderId="87" xfId="0" applyNumberFormat="1" applyFont="1" applyFill="1" applyBorder="1"/>
    <xf numFmtId="3" fontId="0" fillId="0" borderId="15" xfId="0" applyNumberFormat="1" applyFont="1" applyFill="1" applyBorder="1" applyAlignment="1">
      <alignment horizontal="center" vertical="center"/>
    </xf>
    <xf numFmtId="44" fontId="0" fillId="0" borderId="27" xfId="0" applyNumberFormat="1" applyFont="1" applyFill="1" applyBorder="1" applyAlignment="1">
      <alignment horizontal="center" vertical="center"/>
    </xf>
    <xf numFmtId="44" fontId="0" fillId="0" borderId="16" xfId="0" applyNumberFormat="1" applyFont="1" applyFill="1" applyBorder="1" applyAlignment="1">
      <alignment horizontal="center" vertical="center"/>
    </xf>
    <xf numFmtId="0" fontId="14" fillId="5" borderId="62" xfId="0" applyFont="1" applyFill="1" applyBorder="1" applyAlignment="1">
      <alignment horizontal="center" vertical="center" wrapText="1"/>
    </xf>
    <xf numFmtId="0" fontId="0" fillId="0" borderId="61" xfId="0" applyBorder="1" applyAlignment="1">
      <alignment horizontal="center" vertical="center" wrapText="1"/>
    </xf>
    <xf numFmtId="0" fontId="0" fillId="22" borderId="24" xfId="0" applyFill="1" applyBorder="1" applyAlignment="1">
      <alignment horizontal="center" vertical="center"/>
    </xf>
    <xf numFmtId="3" fontId="0" fillId="22" borderId="15" xfId="0" applyNumberFormat="1" applyFill="1" applyBorder="1"/>
    <xf numFmtId="3" fontId="0" fillId="22" borderId="27" xfId="0" applyNumberFormat="1" applyFill="1" applyBorder="1"/>
    <xf numFmtId="0" fontId="1" fillId="0" borderId="14" xfId="0" applyFont="1" applyBorder="1" applyAlignment="1">
      <alignment horizontal="center" vertical="center" wrapText="1"/>
    </xf>
    <xf numFmtId="170" fontId="0" fillId="0" borderId="37" xfId="0" applyNumberFormat="1" applyFill="1" applyBorder="1"/>
    <xf numFmtId="170" fontId="0" fillId="0" borderId="28" xfId="0" applyNumberFormat="1" applyFill="1" applyBorder="1"/>
    <xf numFmtId="170" fontId="0" fillId="0" borderId="18" xfId="0" applyNumberFormat="1" applyFill="1" applyBorder="1"/>
    <xf numFmtId="0" fontId="0" fillId="23" borderId="18" xfId="0" applyFill="1" applyBorder="1" applyAlignment="1">
      <alignment horizontal="center" vertical="center" wrapText="1"/>
    </xf>
    <xf numFmtId="0" fontId="0" fillId="23" borderId="18" xfId="0" applyFill="1" applyBorder="1" applyAlignment="1">
      <alignment horizontal="center" vertical="center"/>
    </xf>
    <xf numFmtId="0" fontId="0" fillId="23" borderId="21" xfId="0" applyFill="1" applyBorder="1" applyAlignment="1">
      <alignment horizontal="center" vertical="center"/>
    </xf>
    <xf numFmtId="0" fontId="0" fillId="0" borderId="61" xfId="0" applyBorder="1" applyAlignment="1">
      <alignment horizontal="center" vertical="center" wrapText="1"/>
    </xf>
    <xf numFmtId="2" fontId="0" fillId="0" borderId="63" xfId="0" applyNumberFormat="1" applyBorder="1" applyAlignment="1">
      <alignment horizontal="center" vertical="center" wrapText="1"/>
    </xf>
    <xf numFmtId="2" fontId="0" fillId="0" borderId="28" xfId="0" applyNumberFormat="1" applyBorder="1" applyAlignment="1">
      <alignment horizontal="center" vertical="center" wrapText="1"/>
    </xf>
    <xf numFmtId="2" fontId="0" fillId="9" borderId="28" xfId="0" applyNumberFormat="1" applyFill="1" applyBorder="1" applyAlignment="1">
      <alignment horizontal="center" vertical="center" wrapText="1"/>
    </xf>
    <xf numFmtId="2" fontId="0" fillId="0" borderId="75" xfId="0" applyNumberFormat="1" applyBorder="1" applyAlignment="1">
      <alignment horizontal="center" vertical="center" wrapText="1"/>
    </xf>
    <xf numFmtId="0" fontId="1" fillId="4" borderId="25" xfId="0" applyFont="1" applyFill="1" applyBorder="1" applyAlignment="1">
      <alignment horizontal="center" vertical="center" wrapText="1"/>
    </xf>
    <xf numFmtId="3" fontId="0" fillId="15" borderId="58" xfId="0" applyNumberFormat="1" applyFill="1" applyBorder="1" applyAlignment="1">
      <alignment vertical="center" wrapText="1"/>
    </xf>
    <xf numFmtId="3" fontId="0" fillId="15" borderId="58" xfId="0" applyNumberFormat="1" applyFill="1" applyBorder="1" applyAlignment="1">
      <alignment horizontal="center" vertical="center" wrapText="1"/>
    </xf>
    <xf numFmtId="3" fontId="0" fillId="15" borderId="54" xfId="0" applyNumberFormat="1" applyFill="1" applyBorder="1" applyAlignment="1">
      <alignment vertical="center" wrapText="1"/>
    </xf>
    <xf numFmtId="3" fontId="0" fillId="15" borderId="54" xfId="0" applyNumberFormat="1" applyFill="1" applyBorder="1" applyAlignment="1">
      <alignment horizontal="center" vertical="center" wrapText="1"/>
    </xf>
    <xf numFmtId="3" fontId="0" fillId="15" borderId="46" xfId="0" applyNumberFormat="1" applyFill="1" applyBorder="1" applyAlignment="1">
      <alignment horizontal="center" vertical="center" wrapText="1"/>
    </xf>
    <xf numFmtId="3" fontId="0" fillId="15" borderId="46" xfId="0" applyNumberFormat="1" applyFill="1" applyBorder="1" applyAlignment="1">
      <alignment horizontal="center" wrapText="1"/>
    </xf>
    <xf numFmtId="3" fontId="0" fillId="15" borderId="55" xfId="0" applyNumberFormat="1" applyFill="1" applyBorder="1" applyAlignment="1">
      <alignment horizontal="center" vertical="center" wrapText="1"/>
    </xf>
    <xf numFmtId="43" fontId="0" fillId="0" borderId="28" xfId="2" applyFont="1" applyBorder="1" applyAlignment="1">
      <alignment horizontal="center"/>
    </xf>
    <xf numFmtId="43" fontId="0" fillId="0" borderId="28" xfId="2" applyFont="1" applyBorder="1" applyAlignment="1">
      <alignment horizontal="center" vertical="center"/>
    </xf>
    <xf numFmtId="43" fontId="0" fillId="0" borderId="37" xfId="0" applyNumberFormat="1" applyFont="1" applyFill="1" applyBorder="1" applyAlignment="1">
      <alignment horizontal="center"/>
    </xf>
    <xf numFmtId="43" fontId="0" fillId="0" borderId="76" xfId="0" applyNumberFormat="1" applyFont="1" applyFill="1" applyBorder="1" applyAlignment="1">
      <alignment horizontal="center"/>
    </xf>
    <xf numFmtId="0" fontId="0" fillId="0" borderId="47" xfId="0" applyBorder="1" applyAlignment="1">
      <alignment horizontal="center"/>
    </xf>
    <xf numFmtId="2" fontId="0" fillId="0" borderId="47" xfId="0" applyNumberFormat="1" applyBorder="1"/>
    <xf numFmtId="1" fontId="0" fillId="0" borderId="75" xfId="0" applyNumberFormat="1" applyBorder="1" applyAlignment="1"/>
    <xf numFmtId="3" fontId="0" fillId="0" borderId="55" xfId="0" applyNumberFormat="1" applyFill="1" applyBorder="1" applyAlignment="1">
      <alignment horizontal="center" vertical="center" wrapText="1"/>
    </xf>
    <xf numFmtId="0" fontId="1" fillId="11" borderId="13" xfId="0" applyFont="1" applyFill="1" applyBorder="1" applyAlignment="1">
      <alignment horizontal="center" vertical="center"/>
    </xf>
    <xf numFmtId="0" fontId="1" fillId="11" borderId="1" xfId="0" applyFont="1" applyFill="1" applyBorder="1" applyAlignment="1">
      <alignment horizontal="center" vertical="center"/>
    </xf>
    <xf numFmtId="43" fontId="0" fillId="0" borderId="60" xfId="2" applyFont="1" applyBorder="1" applyAlignment="1">
      <alignment horizontal="center" vertical="center" wrapText="1"/>
    </xf>
    <xf numFmtId="0" fontId="0" fillId="0" borderId="19" xfId="0" applyFill="1" applyBorder="1" applyAlignment="1">
      <alignment horizontal="center"/>
    </xf>
    <xf numFmtId="43" fontId="0" fillId="0" borderId="19" xfId="0" applyNumberFormat="1" applyFill="1" applyBorder="1" applyAlignment="1">
      <alignment horizontal="center"/>
    </xf>
    <xf numFmtId="43" fontId="0" fillId="0" borderId="19" xfId="0" applyNumberFormat="1" applyBorder="1" applyAlignment="1">
      <alignment horizontal="center"/>
    </xf>
    <xf numFmtId="2" fontId="0" fillId="0" borderId="49" xfId="0" applyNumberFormat="1" applyBorder="1"/>
    <xf numFmtId="165" fontId="0" fillId="0" borderId="14" xfId="0" applyNumberFormat="1" applyBorder="1" applyAlignment="1">
      <alignment horizontal="center" vertical="center" wrapText="1"/>
    </xf>
    <xf numFmtId="1" fontId="0" fillId="0" borderId="28" xfId="0" applyNumberFormat="1" applyFill="1" applyBorder="1" applyAlignment="1">
      <alignment horizontal="center" vertical="center" wrapText="1"/>
    </xf>
    <xf numFmtId="1" fontId="0" fillId="9" borderId="28" xfId="0" applyNumberFormat="1" applyFill="1" applyBorder="1" applyAlignment="1">
      <alignment horizontal="center" vertical="center" wrapText="1"/>
    </xf>
    <xf numFmtId="1" fontId="0" fillId="0" borderId="75" xfId="0" applyNumberFormat="1" applyFill="1" applyBorder="1" applyAlignment="1">
      <alignment horizontal="center" vertical="center" wrapText="1"/>
    </xf>
    <xf numFmtId="1" fontId="0" fillId="9" borderId="29" xfId="0" applyNumberFormat="1" applyFill="1" applyBorder="1" applyAlignment="1">
      <alignment horizontal="center" vertical="center" wrapText="1"/>
    </xf>
    <xf numFmtId="1" fontId="0" fillId="0" borderId="61" xfId="0" applyNumberFormat="1" applyBorder="1" applyAlignment="1">
      <alignment horizontal="center" vertical="center" wrapText="1"/>
    </xf>
    <xf numFmtId="164" fontId="1" fillId="24" borderId="87" xfId="0" applyNumberFormat="1" applyFont="1" applyFill="1" applyBorder="1"/>
    <xf numFmtId="164" fontId="1" fillId="24" borderId="64" xfId="0" applyNumberFormat="1" applyFont="1" applyFill="1" applyBorder="1"/>
    <xf numFmtId="0" fontId="7" fillId="7" borderId="14"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0" fillId="0" borderId="12" xfId="0" applyBorder="1" applyAlignment="1">
      <alignment horizontal="center" vertical="center" wrapText="1"/>
    </xf>
    <xf numFmtId="0" fontId="0" fillId="9" borderId="11" xfId="0" applyFill="1" applyBorder="1" applyAlignment="1">
      <alignment horizontal="center" vertical="center" wrapText="1"/>
    </xf>
    <xf numFmtId="0" fontId="0" fillId="9" borderId="14" xfId="0" applyFill="1" applyBorder="1" applyAlignment="1">
      <alignment horizontal="center" vertical="center" wrapText="1"/>
    </xf>
    <xf numFmtId="0" fontId="0" fillId="9" borderId="12" xfId="0"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7" borderId="11"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12" xfId="0" applyFont="1" applyFill="1" applyBorder="1" applyAlignment="1">
      <alignment horizontal="center" vertical="center"/>
    </xf>
    <xf numFmtId="0" fontId="7" fillId="7" borderId="60" xfId="0" applyFont="1" applyFill="1" applyBorder="1" applyAlignment="1">
      <alignment horizontal="center" vertical="center" wrapText="1"/>
    </xf>
    <xf numFmtId="0" fontId="7" fillId="7" borderId="61" xfId="0" applyFont="1" applyFill="1" applyBorder="1" applyAlignment="1">
      <alignment horizontal="center" vertical="center" wrapText="1"/>
    </xf>
    <xf numFmtId="0" fontId="7" fillId="7" borderId="60" xfId="0" applyFont="1" applyFill="1" applyBorder="1" applyAlignment="1">
      <alignment horizontal="center" vertical="center"/>
    </xf>
    <xf numFmtId="0" fontId="7" fillId="7" borderId="61" xfId="0" applyFont="1" applyFill="1" applyBorder="1" applyAlignment="1">
      <alignment horizontal="center" vertical="center"/>
    </xf>
    <xf numFmtId="0" fontId="7" fillId="7" borderId="25" xfId="0" applyFont="1" applyFill="1" applyBorder="1" applyAlignment="1">
      <alignment horizontal="center" vertical="center"/>
    </xf>
    <xf numFmtId="0" fontId="7" fillId="7" borderId="65" xfId="0" applyFont="1" applyFill="1" applyBorder="1" applyAlignment="1">
      <alignment horizontal="center" vertical="center"/>
    </xf>
    <xf numFmtId="0" fontId="0" fillId="0" borderId="0" xfId="0" applyBorder="1" applyAlignment="1">
      <alignment horizontal="left" vertical="center" wrapText="1"/>
    </xf>
    <xf numFmtId="0" fontId="1" fillId="11" borderId="4" xfId="0" applyFont="1" applyFill="1" applyBorder="1" applyAlignment="1">
      <alignment horizontal="center" vertical="center"/>
    </xf>
    <xf numFmtId="0" fontId="0" fillId="0" borderId="13" xfId="0" applyBorder="1" applyAlignment="1">
      <alignment vertical="center"/>
    </xf>
    <xf numFmtId="0" fontId="0" fillId="0" borderId="5" xfId="0" applyBorder="1" applyAlignment="1">
      <alignment vertical="center"/>
    </xf>
    <xf numFmtId="0" fontId="1" fillId="11" borderId="11" xfId="0" applyFont="1" applyFill="1" applyBorder="1" applyAlignment="1">
      <alignment horizontal="center" vertical="center" wrapText="1"/>
    </xf>
    <xf numFmtId="0" fontId="1" fillId="11" borderId="12" xfId="0" applyFont="1" applyFill="1" applyBorder="1" applyAlignment="1">
      <alignment horizontal="center" vertical="center" wrapText="1"/>
    </xf>
    <xf numFmtId="0" fontId="0" fillId="0" borderId="14" xfId="0" applyBorder="1" applyAlignment="1">
      <alignment horizontal="center" vertical="center" wrapText="1"/>
    </xf>
    <xf numFmtId="0" fontId="1" fillId="11" borderId="45" xfId="0" applyFont="1" applyFill="1" applyBorder="1" applyAlignment="1">
      <alignment horizontal="center" vertical="center" wrapText="1"/>
    </xf>
    <xf numFmtId="0" fontId="1" fillId="11" borderId="46"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11" borderId="13"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9"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10" xfId="0" applyFont="1" applyFill="1" applyBorder="1" applyAlignment="1">
      <alignment horizontal="center" vertical="center" wrapText="1"/>
    </xf>
    <xf numFmtId="0" fontId="1" fillId="11" borderId="11" xfId="0" applyFont="1" applyFill="1" applyBorder="1" applyAlignment="1">
      <alignment horizontal="center" vertical="center"/>
    </xf>
    <xf numFmtId="0" fontId="1" fillId="11" borderId="14" xfId="0" applyFont="1" applyFill="1" applyBorder="1" applyAlignment="1">
      <alignment horizontal="center" vertical="center"/>
    </xf>
    <xf numFmtId="0" fontId="1" fillId="11" borderId="12" xfId="0" applyFont="1" applyFill="1" applyBorder="1" applyAlignment="1">
      <alignment horizontal="center" vertical="center"/>
    </xf>
    <xf numFmtId="0" fontId="1" fillId="11" borderId="13" xfId="0" applyFont="1" applyFill="1" applyBorder="1" applyAlignment="1">
      <alignment horizontal="center" vertical="center"/>
    </xf>
    <xf numFmtId="0" fontId="1" fillId="11" borderId="5" xfId="0" applyFont="1" applyFill="1" applyBorder="1" applyAlignment="1">
      <alignment horizontal="center" vertical="center"/>
    </xf>
    <xf numFmtId="0" fontId="1" fillId="11" borderId="9" xfId="0" applyFont="1" applyFill="1" applyBorder="1" applyAlignment="1">
      <alignment horizontal="center" vertical="center"/>
    </xf>
    <xf numFmtId="0" fontId="1" fillId="11" borderId="1" xfId="0" applyFont="1" applyFill="1" applyBorder="1" applyAlignment="1">
      <alignment horizontal="center" vertical="center"/>
    </xf>
    <xf numFmtId="0" fontId="1" fillId="11" borderId="10" xfId="0" applyFont="1" applyFill="1" applyBorder="1" applyAlignment="1">
      <alignment horizontal="center" vertical="center"/>
    </xf>
    <xf numFmtId="0" fontId="1" fillId="11" borderId="14"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1" xfId="0" applyFill="1" applyBorder="1" applyAlignment="1">
      <alignment horizontal="center" vertical="center" wrapText="1"/>
    </xf>
    <xf numFmtId="0" fontId="0" fillId="9" borderId="10" xfId="0"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62"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7" xfId="0" applyFont="1" applyFill="1" applyBorder="1" applyAlignment="1">
      <alignment horizontal="center" vertical="center"/>
    </xf>
    <xf numFmtId="0" fontId="1" fillId="12" borderId="4" xfId="0" applyFont="1" applyFill="1" applyBorder="1" applyAlignment="1">
      <alignment horizontal="center" vertical="center"/>
    </xf>
    <xf numFmtId="0" fontId="1" fillId="12" borderId="13" xfId="0" applyFont="1" applyFill="1" applyBorder="1" applyAlignment="1">
      <alignment horizontal="center" vertical="center"/>
    </xf>
    <xf numFmtId="0" fontId="1" fillId="12" borderId="5" xfId="0" applyFont="1" applyFill="1" applyBorder="1" applyAlignment="1">
      <alignment horizontal="center" vertical="center"/>
    </xf>
    <xf numFmtId="0" fontId="1" fillId="12" borderId="6" xfId="0" applyFont="1" applyFill="1" applyBorder="1" applyAlignment="1">
      <alignment horizontal="center" vertical="center"/>
    </xf>
    <xf numFmtId="0" fontId="1" fillId="12" borderId="0" xfId="0" applyFont="1" applyFill="1" applyBorder="1" applyAlignment="1">
      <alignment horizontal="center" vertical="center"/>
    </xf>
    <xf numFmtId="0" fontId="1" fillId="12" borderId="7" xfId="0" applyFont="1" applyFill="1" applyBorder="1" applyAlignment="1">
      <alignment horizontal="center" vertical="center"/>
    </xf>
    <xf numFmtId="0" fontId="1" fillId="12" borderId="9" xfId="0" applyFont="1" applyFill="1" applyBorder="1" applyAlignment="1">
      <alignment horizontal="center" vertical="center"/>
    </xf>
    <xf numFmtId="0" fontId="1" fillId="12" borderId="1" xfId="0" applyFont="1" applyFill="1" applyBorder="1" applyAlignment="1">
      <alignment horizontal="center" vertical="center"/>
    </xf>
    <xf numFmtId="0" fontId="1" fillId="12" borderId="10"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4" borderId="13"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44" xfId="0" applyFont="1" applyFill="1" applyBorder="1" applyAlignment="1">
      <alignment horizontal="center" vertical="center" wrapText="1"/>
    </xf>
    <xf numFmtId="0" fontId="1" fillId="5" borderId="31" xfId="0" applyFont="1" applyFill="1" applyBorder="1" applyAlignment="1">
      <alignment horizontal="center" vertical="center" wrapText="1"/>
    </xf>
    <xf numFmtId="0" fontId="1" fillId="5" borderId="72" xfId="0" applyFont="1" applyFill="1" applyBorder="1" applyAlignment="1">
      <alignment horizontal="center" vertical="center" wrapText="1"/>
    </xf>
    <xf numFmtId="0" fontId="1" fillId="5" borderId="65" xfId="0" applyFont="1" applyFill="1" applyBorder="1" applyAlignment="1">
      <alignment horizontal="center" vertical="center" wrapText="1"/>
    </xf>
    <xf numFmtId="0" fontId="7" fillId="8" borderId="60" xfId="0" applyFont="1" applyFill="1" applyBorder="1" applyAlignment="1">
      <alignment horizontal="center" vertical="center" wrapText="1"/>
    </xf>
    <xf numFmtId="0" fontId="0" fillId="0" borderId="61" xfId="0" applyBorder="1" applyAlignment="1">
      <alignment horizontal="center" vertical="center"/>
    </xf>
    <xf numFmtId="0" fontId="0" fillId="0" borderId="25" xfId="0" applyBorder="1" applyAlignment="1">
      <alignment horizontal="center" vertical="center"/>
    </xf>
    <xf numFmtId="0" fontId="0" fillId="0" borderId="61" xfId="0" applyBorder="1" applyAlignment="1">
      <alignment horizontal="center" vertical="center" wrapText="1"/>
    </xf>
    <xf numFmtId="0" fontId="0" fillId="0" borderId="25" xfId="0" applyBorder="1" applyAlignment="1">
      <alignment horizontal="center" vertical="center" wrapText="1"/>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1" fillId="8" borderId="11"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5" fillId="0" borderId="11" xfId="0" applyFont="1" applyBorder="1" applyAlignment="1">
      <alignment horizontal="center"/>
    </xf>
    <xf numFmtId="0" fontId="5" fillId="0" borderId="14" xfId="0" applyFont="1" applyBorder="1" applyAlignment="1">
      <alignment horizontal="center"/>
    </xf>
    <xf numFmtId="0" fontId="5" fillId="0" borderId="12" xfId="0" applyFont="1" applyBorder="1" applyAlignment="1">
      <alignment horizontal="center"/>
    </xf>
    <xf numFmtId="0" fontId="1" fillId="0" borderId="11"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16" fontId="1" fillId="0" borderId="11" xfId="0" applyNumberFormat="1" applyFont="1" applyBorder="1" applyAlignment="1">
      <alignment horizontal="center" vertical="center"/>
    </xf>
    <xf numFmtId="16" fontId="1" fillId="0" borderId="14" xfId="0" applyNumberFormat="1" applyFont="1" applyBorder="1" applyAlignment="1">
      <alignment horizontal="center" vertical="center"/>
    </xf>
    <xf numFmtId="16" fontId="1" fillId="0" borderId="12" xfId="0" applyNumberFormat="1"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xf>
    <xf numFmtId="0" fontId="1" fillId="0" borderId="14" xfId="0" applyFont="1" applyBorder="1" applyAlignment="1">
      <alignment horizontal="center"/>
    </xf>
    <xf numFmtId="0" fontId="1" fillId="0" borderId="12" xfId="0" applyFont="1" applyBorder="1" applyAlignment="1">
      <alignment horizontal="center"/>
    </xf>
    <xf numFmtId="0" fontId="1" fillId="0" borderId="4" xfId="0" applyFont="1" applyBorder="1" applyAlignment="1">
      <alignment horizontal="center"/>
    </xf>
    <xf numFmtId="0" fontId="1" fillId="0" borderId="13" xfId="0" applyFont="1" applyBorder="1" applyAlignment="1">
      <alignment horizontal="center"/>
    </xf>
    <xf numFmtId="0" fontId="1" fillId="0" borderId="5" xfId="0" applyFont="1" applyBorder="1" applyAlignment="1">
      <alignment horizontal="center"/>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xf>
    <xf numFmtId="0" fontId="1" fillId="0" borderId="13" xfId="0" applyFont="1" applyBorder="1" applyAlignment="1">
      <alignment horizontal="center" vertical="center"/>
    </xf>
    <xf numFmtId="0" fontId="1" fillId="0" borderId="3" xfId="0" applyFont="1" applyBorder="1" applyAlignment="1">
      <alignment horizontal="center" vertical="center"/>
    </xf>
    <xf numFmtId="0" fontId="1" fillId="2" borderId="1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2" xfId="0" applyFont="1" applyFill="1" applyBorder="1" applyAlignment="1">
      <alignment horizontal="center" vertical="center"/>
    </xf>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0"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9" xfId="0" applyFont="1" applyFill="1" applyBorder="1" applyAlignment="1">
      <alignment horizontal="center" vertical="center"/>
    </xf>
    <xf numFmtId="0" fontId="1" fillId="11" borderId="11" xfId="0" applyFont="1" applyFill="1" applyBorder="1" applyAlignment="1">
      <alignment horizontal="center"/>
    </xf>
    <xf numFmtId="0" fontId="1" fillId="11" borderId="14" xfId="0" applyFont="1" applyFill="1" applyBorder="1" applyAlignment="1">
      <alignment horizontal="center"/>
    </xf>
    <xf numFmtId="0" fontId="1" fillId="11" borderId="12" xfId="0" applyFont="1" applyFill="1" applyBorder="1" applyAlignment="1">
      <alignment horizontal="center"/>
    </xf>
    <xf numFmtId="0" fontId="1" fillId="5" borderId="45" xfId="0" applyFont="1" applyFill="1" applyBorder="1" applyAlignment="1">
      <alignment horizontal="center" vertical="center" wrapText="1"/>
    </xf>
    <xf numFmtId="0" fontId="1" fillId="5" borderId="46" xfId="0" applyFont="1" applyFill="1" applyBorder="1" applyAlignment="1">
      <alignment horizontal="center" vertical="center" wrapText="1"/>
    </xf>
    <xf numFmtId="0" fontId="2" fillId="0" borderId="0" xfId="0" applyFont="1" applyAlignment="1">
      <alignment horizontal="center" wrapText="1"/>
    </xf>
    <xf numFmtId="0" fontId="2" fillId="0" borderId="35" xfId="0" applyFont="1" applyBorder="1" applyAlignment="1">
      <alignment horizontal="center" wrapText="1"/>
    </xf>
    <xf numFmtId="0" fontId="23" fillId="0" borderId="11" xfId="0" applyFont="1" applyBorder="1" applyAlignment="1">
      <alignment horizontal="center"/>
    </xf>
    <xf numFmtId="0" fontId="23" fillId="0" borderId="14" xfId="0" applyFont="1" applyBorder="1" applyAlignment="1">
      <alignment horizontal="center"/>
    </xf>
    <xf numFmtId="0" fontId="23" fillId="0" borderId="12" xfId="0" applyFont="1" applyBorder="1" applyAlignment="1">
      <alignment horizontal="center"/>
    </xf>
    <xf numFmtId="0" fontId="24" fillId="0" borderId="11" xfId="0" applyFont="1" applyBorder="1" applyAlignment="1">
      <alignment horizontal="center"/>
    </xf>
    <xf numFmtId="0" fontId="24" fillId="0" borderId="12" xfId="0" applyFont="1" applyBorder="1" applyAlignment="1">
      <alignment horizontal="center"/>
    </xf>
    <xf numFmtId="0" fontId="24" fillId="17" borderId="11" xfId="0" applyFont="1" applyFill="1" applyBorder="1" applyAlignment="1">
      <alignment horizontal="center" vertical="center" wrapText="1"/>
    </xf>
    <xf numFmtId="0" fontId="24" fillId="17" borderId="14" xfId="0" applyFont="1" applyFill="1" applyBorder="1" applyAlignment="1">
      <alignment horizontal="center" vertical="center" wrapText="1"/>
    </xf>
    <xf numFmtId="0" fontId="24" fillId="17" borderId="12" xfId="0" applyFont="1" applyFill="1" applyBorder="1" applyAlignment="1">
      <alignment horizontal="center" vertical="center" wrapText="1"/>
    </xf>
    <xf numFmtId="0" fontId="24" fillId="0" borderId="23" xfId="0" applyFont="1" applyBorder="1" applyAlignment="1">
      <alignment horizontal="center" vertical="center" wrapText="1"/>
    </xf>
    <xf numFmtId="0" fontId="24" fillId="0" borderId="36" xfId="0" applyFont="1" applyBorder="1" applyAlignment="1">
      <alignment horizontal="center" vertical="center" wrapText="1"/>
    </xf>
    <xf numFmtId="0" fontId="23" fillId="0" borderId="23" xfId="0" applyFont="1" applyBorder="1" applyAlignment="1">
      <alignment horizontal="center" wrapText="1"/>
    </xf>
    <xf numFmtId="0" fontId="23" fillId="0" borderId="26" xfId="0" applyFont="1" applyBorder="1" applyAlignment="1">
      <alignment horizontal="center" wrapText="1"/>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CCFFFF"/>
      <color rgb="FF99CCFF"/>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72"/>
  <sheetViews>
    <sheetView topLeftCell="D1" zoomScale="75" zoomScaleNormal="75" workbookViewId="0">
      <pane xSplit="5" ySplit="7" topLeftCell="P56" activePane="bottomRight" state="frozen"/>
      <selection activeCell="S57" sqref="S57"/>
      <selection pane="topRight" activeCell="S57" sqref="S57"/>
      <selection pane="bottomLeft" activeCell="S57" sqref="S57"/>
      <selection pane="bottomRight" activeCell="S57" sqref="S57"/>
    </sheetView>
  </sheetViews>
  <sheetFormatPr defaultColWidth="9.109375" defaultRowHeight="14.4" x14ac:dyDescent="0.3"/>
  <cols>
    <col min="1" max="1" width="23.33203125" style="123" customWidth="1"/>
    <col min="2" max="3" width="15.6640625" style="57" customWidth="1"/>
    <col min="4" max="4" width="15.6640625" style="3" customWidth="1"/>
    <col min="5" max="6" width="22" style="3" bestFit="1" customWidth="1"/>
    <col min="7" max="7" width="21.6640625" style="3" bestFit="1" customWidth="1"/>
    <col min="8" max="8" width="24.109375" style="3" customWidth="1"/>
    <col min="9" max="9" width="10.6640625" customWidth="1"/>
    <col min="10" max="10" width="13.5546875" customWidth="1"/>
    <col min="11" max="11" width="12.5546875" style="123" customWidth="1"/>
    <col min="12" max="12" width="12" style="123" customWidth="1"/>
    <col min="13" max="15" width="10.6640625" customWidth="1"/>
    <col min="16" max="16" width="13" customWidth="1"/>
    <col min="17" max="17" width="10.6640625" customWidth="1"/>
    <col min="18" max="21" width="13.6640625" customWidth="1"/>
    <col min="22" max="22" width="19" style="123" customWidth="1"/>
    <col min="23" max="23" width="19.44140625" style="123" customWidth="1"/>
    <col min="24" max="24" width="13.6640625" style="123" customWidth="1"/>
    <col min="25" max="25" width="18.109375" style="123" customWidth="1"/>
    <col min="26" max="26" width="18.6640625" style="123" customWidth="1"/>
    <col min="27" max="27" width="15.44140625" style="123" customWidth="1"/>
    <col min="28" max="28" width="14.44140625" style="123" customWidth="1"/>
    <col min="29" max="29" width="17" style="123" bestFit="1" customWidth="1"/>
    <col min="30" max="30" width="21.5546875" bestFit="1" customWidth="1"/>
    <col min="31" max="31" width="15.5546875" bestFit="1" customWidth="1"/>
    <col min="32" max="33" width="13.6640625" style="123" customWidth="1"/>
    <col min="34" max="34" width="15.5546875" style="123" customWidth="1"/>
    <col min="35" max="35" width="17.88671875" customWidth="1"/>
    <col min="36" max="36" width="23.88671875" customWidth="1"/>
  </cols>
  <sheetData>
    <row r="1" spans="1:36" x14ac:dyDescent="0.3">
      <c r="A1" s="1" t="s">
        <v>0</v>
      </c>
      <c r="B1" s="59" t="s">
        <v>1</v>
      </c>
      <c r="C1" s="59"/>
      <c r="D1" s="250" t="s">
        <v>2</v>
      </c>
      <c r="E1" s="250" t="s">
        <v>69</v>
      </c>
      <c r="F1" s="124"/>
      <c r="G1" s="1"/>
      <c r="H1" s="1"/>
      <c r="I1" s="123"/>
      <c r="J1" s="123"/>
      <c r="M1" s="123"/>
      <c r="N1" s="123"/>
      <c r="O1" s="123"/>
      <c r="P1" s="123"/>
      <c r="Q1" s="123"/>
      <c r="R1" s="123"/>
      <c r="S1" s="123"/>
      <c r="T1" s="123"/>
      <c r="U1" s="123"/>
    </row>
    <row r="2" spans="1:36" s="123" customFormat="1" x14ac:dyDescent="0.3">
      <c r="A2" s="1"/>
      <c r="B2" s="59"/>
      <c r="C2" s="59"/>
      <c r="D2" s="250" t="s">
        <v>4</v>
      </c>
      <c r="E2" s="265">
        <v>2022</v>
      </c>
      <c r="G2" s="1"/>
      <c r="H2" s="1"/>
    </row>
    <row r="3" spans="1:36" x14ac:dyDescent="0.3">
      <c r="A3" s="2"/>
      <c r="B3" s="56"/>
      <c r="C3" s="56"/>
      <c r="D3" s="2"/>
      <c r="E3" s="2"/>
      <c r="F3" s="124"/>
      <c r="G3" s="123"/>
      <c r="H3" s="123"/>
      <c r="I3" s="123"/>
      <c r="J3" s="123"/>
      <c r="M3" s="123"/>
      <c r="N3" s="123"/>
      <c r="O3" s="123"/>
      <c r="P3" s="123"/>
      <c r="Q3" s="123"/>
      <c r="R3" s="123"/>
      <c r="S3" s="123"/>
      <c r="T3" s="123"/>
      <c r="U3" s="123"/>
    </row>
    <row r="4" spans="1:36" ht="15" customHeight="1" x14ac:dyDescent="0.3">
      <c r="A4" s="116" t="s">
        <v>5</v>
      </c>
      <c r="B4" s="124"/>
      <c r="C4" s="124"/>
      <c r="D4" s="124"/>
      <c r="E4" s="124"/>
      <c r="F4" s="124"/>
      <c r="G4" s="124"/>
      <c r="H4" s="124"/>
      <c r="I4" s="124"/>
      <c r="J4" s="124"/>
      <c r="K4" s="124"/>
      <c r="L4" s="124"/>
      <c r="M4" s="124"/>
      <c r="N4" s="124"/>
      <c r="O4" s="124"/>
      <c r="P4" s="124"/>
      <c r="Q4" s="124"/>
      <c r="R4" s="123"/>
      <c r="S4" s="123"/>
      <c r="T4" s="123"/>
      <c r="U4" s="123"/>
    </row>
    <row r="5" spans="1:36" ht="15" thickBot="1" x14ac:dyDescent="0.35">
      <c r="D5" s="124"/>
      <c r="E5" s="124"/>
      <c r="F5" s="124"/>
      <c r="G5" s="124"/>
      <c r="H5" s="124"/>
      <c r="I5" s="124"/>
      <c r="J5" s="123"/>
      <c r="M5" s="123"/>
      <c r="N5" s="123"/>
      <c r="O5" s="123"/>
      <c r="P5" s="123"/>
      <c r="Q5" s="123"/>
      <c r="R5" s="123"/>
      <c r="S5" s="123"/>
      <c r="T5" s="123"/>
      <c r="U5" s="123"/>
    </row>
    <row r="6" spans="1:36" ht="73.5" customHeight="1" thickBot="1" x14ac:dyDescent="0.35">
      <c r="A6" s="874" t="s">
        <v>6</v>
      </c>
      <c r="B6" s="875"/>
      <c r="C6" s="875"/>
      <c r="D6" s="875"/>
      <c r="E6" s="875"/>
      <c r="F6" s="875"/>
      <c r="G6" s="875"/>
      <c r="H6" s="876"/>
      <c r="I6" s="880" t="s">
        <v>343</v>
      </c>
      <c r="J6" s="881"/>
      <c r="K6" s="881"/>
      <c r="L6" s="881"/>
      <c r="M6" s="881"/>
      <c r="N6" s="882" t="s">
        <v>7</v>
      </c>
      <c r="O6" s="883"/>
      <c r="P6" s="883"/>
      <c r="Q6" s="884"/>
      <c r="R6" s="882" t="s">
        <v>8</v>
      </c>
      <c r="S6" s="883"/>
      <c r="T6" s="883"/>
      <c r="U6" s="885"/>
      <c r="V6" s="593" t="s">
        <v>9</v>
      </c>
      <c r="W6" s="877" t="s">
        <v>10</v>
      </c>
      <c r="X6" s="878"/>
      <c r="Y6" s="878"/>
      <c r="Z6" s="878"/>
      <c r="AA6" s="879"/>
      <c r="AB6" s="67" t="s">
        <v>11</v>
      </c>
      <c r="AC6" s="67" t="s">
        <v>335</v>
      </c>
      <c r="AD6" s="869" t="s">
        <v>336</v>
      </c>
      <c r="AE6" s="870"/>
      <c r="AF6" s="867" t="s">
        <v>342</v>
      </c>
      <c r="AG6" s="868"/>
      <c r="AH6" s="67" t="s">
        <v>341</v>
      </c>
      <c r="AI6" s="67" t="s">
        <v>362</v>
      </c>
      <c r="AJ6" s="67" t="s">
        <v>340</v>
      </c>
    </row>
    <row r="7" spans="1:36" ht="45.75" customHeight="1" x14ac:dyDescent="0.3">
      <c r="A7" s="64" t="s">
        <v>2</v>
      </c>
      <c r="B7" s="64" t="s">
        <v>12</v>
      </c>
      <c r="C7" s="64" t="s">
        <v>13</v>
      </c>
      <c r="D7" s="27" t="s">
        <v>14</v>
      </c>
      <c r="E7" s="27" t="s">
        <v>15</v>
      </c>
      <c r="F7" s="27" t="s">
        <v>16</v>
      </c>
      <c r="G7" s="27" t="s">
        <v>17</v>
      </c>
      <c r="H7" s="197" t="s">
        <v>18</v>
      </c>
      <c r="I7" s="28" t="s">
        <v>361</v>
      </c>
      <c r="J7" s="29" t="s">
        <v>356</v>
      </c>
      <c r="K7" s="29" t="s">
        <v>364</v>
      </c>
      <c r="L7" s="29" t="s">
        <v>365</v>
      </c>
      <c r="M7" s="29" t="s">
        <v>367</v>
      </c>
      <c r="N7" s="28" t="s">
        <v>368</v>
      </c>
      <c r="O7" s="31" t="s">
        <v>369</v>
      </c>
      <c r="P7" s="31" t="s">
        <v>367</v>
      </c>
      <c r="Q7" s="32" t="s">
        <v>382</v>
      </c>
      <c r="R7" s="28" t="s">
        <v>372</v>
      </c>
      <c r="S7" s="31" t="s">
        <v>373</v>
      </c>
      <c r="T7" s="30" t="s">
        <v>374</v>
      </c>
      <c r="U7" s="29" t="s">
        <v>375</v>
      </c>
      <c r="V7" s="33" t="s">
        <v>447</v>
      </c>
      <c r="W7" s="33" t="s">
        <v>10</v>
      </c>
      <c r="X7" s="31" t="s">
        <v>335</v>
      </c>
      <c r="Y7" s="31" t="s">
        <v>377</v>
      </c>
      <c r="Z7" s="31" t="s">
        <v>378</v>
      </c>
      <c r="AA7" s="34" t="s">
        <v>359</v>
      </c>
      <c r="AB7" s="68" t="s">
        <v>360</v>
      </c>
      <c r="AC7" s="68" t="s">
        <v>335</v>
      </c>
      <c r="AD7" s="33" t="s">
        <v>339</v>
      </c>
      <c r="AE7" s="34" t="s">
        <v>338</v>
      </c>
      <c r="AF7" s="31" t="s">
        <v>358</v>
      </c>
      <c r="AG7" s="34" t="s">
        <v>380</v>
      </c>
      <c r="AH7" s="68"/>
      <c r="AI7" s="68" t="s">
        <v>337</v>
      </c>
      <c r="AJ7" s="68"/>
    </row>
    <row r="8" spans="1:36" s="123" customFormat="1" ht="30" customHeight="1" x14ac:dyDescent="0.3">
      <c r="A8" s="60" t="str">
        <f t="shared" ref="A8:A64" si="0">$E$1</f>
        <v>Unitil</v>
      </c>
      <c r="B8" s="66" t="s">
        <v>383</v>
      </c>
      <c r="C8" s="66" t="s">
        <v>383</v>
      </c>
      <c r="D8" s="58" t="s">
        <v>384</v>
      </c>
      <c r="E8" s="58" t="s">
        <v>385</v>
      </c>
      <c r="F8" s="58" t="s">
        <v>386</v>
      </c>
      <c r="G8" s="58" t="s">
        <v>385</v>
      </c>
      <c r="H8" s="10" t="s">
        <v>387</v>
      </c>
      <c r="I8" s="58">
        <v>0</v>
      </c>
      <c r="J8" s="58">
        <v>0</v>
      </c>
      <c r="K8" s="66" t="s">
        <v>383</v>
      </c>
      <c r="L8" s="58" t="s">
        <v>383</v>
      </c>
      <c r="M8" s="58" t="s">
        <v>383</v>
      </c>
      <c r="N8" s="65" t="s">
        <v>383</v>
      </c>
      <c r="O8" s="58" t="s">
        <v>383</v>
      </c>
      <c r="P8" s="58" t="s">
        <v>383</v>
      </c>
      <c r="Q8" s="198" t="s">
        <v>383</v>
      </c>
      <c r="R8" s="65">
        <v>0</v>
      </c>
      <c r="S8" s="58">
        <v>0</v>
      </c>
      <c r="T8" s="58">
        <v>0</v>
      </c>
      <c r="U8" s="203">
        <v>0</v>
      </c>
      <c r="V8" s="65">
        <v>0</v>
      </c>
      <c r="W8" s="65" t="s">
        <v>383</v>
      </c>
      <c r="X8" s="58" t="s">
        <v>383</v>
      </c>
      <c r="Y8" s="58" t="s">
        <v>383</v>
      </c>
      <c r="Z8" s="58" t="s">
        <v>383</v>
      </c>
      <c r="AA8" s="204">
        <f t="shared" ref="AA8:AA52" si="1">SUM(R8:S8,U8)</f>
        <v>0</v>
      </c>
      <c r="AB8" s="69">
        <v>0</v>
      </c>
      <c r="AC8" s="69" t="s">
        <v>383</v>
      </c>
      <c r="AD8" s="65" t="s">
        <v>383</v>
      </c>
      <c r="AE8" s="198" t="s">
        <v>383</v>
      </c>
      <c r="AF8" s="58">
        <v>0</v>
      </c>
      <c r="AG8" s="204" t="s">
        <v>383</v>
      </c>
      <c r="AH8" s="69" t="s">
        <v>383</v>
      </c>
      <c r="AI8" s="69">
        <v>0</v>
      </c>
      <c r="AJ8" s="69" t="s">
        <v>383</v>
      </c>
    </row>
    <row r="9" spans="1:36" s="123" customFormat="1" ht="30" customHeight="1" x14ac:dyDescent="0.3">
      <c r="A9" s="60" t="str">
        <f t="shared" si="0"/>
        <v>Unitil</v>
      </c>
      <c r="B9" s="66" t="s">
        <v>383</v>
      </c>
      <c r="C9" s="66" t="s">
        <v>383</v>
      </c>
      <c r="D9" s="58" t="s">
        <v>384</v>
      </c>
      <c r="E9" s="58" t="s">
        <v>385</v>
      </c>
      <c r="F9" s="58" t="s">
        <v>388</v>
      </c>
      <c r="G9" s="58" t="s">
        <v>385</v>
      </c>
      <c r="H9" s="10" t="s">
        <v>387</v>
      </c>
      <c r="I9" s="58">
        <v>0</v>
      </c>
      <c r="J9" s="58">
        <v>0</v>
      </c>
      <c r="K9" s="66" t="s">
        <v>383</v>
      </c>
      <c r="L9" s="58" t="s">
        <v>383</v>
      </c>
      <c r="M9" s="58" t="s">
        <v>383</v>
      </c>
      <c r="N9" s="65" t="s">
        <v>383</v>
      </c>
      <c r="O9" s="58" t="s">
        <v>383</v>
      </c>
      <c r="P9" s="58" t="s">
        <v>383</v>
      </c>
      <c r="Q9" s="198" t="s">
        <v>383</v>
      </c>
      <c r="R9" s="65">
        <v>0</v>
      </c>
      <c r="S9" s="58">
        <v>0</v>
      </c>
      <c r="T9" s="58">
        <v>0</v>
      </c>
      <c r="U9" s="203">
        <v>0</v>
      </c>
      <c r="V9" s="65">
        <v>0</v>
      </c>
      <c r="W9" s="65" t="s">
        <v>383</v>
      </c>
      <c r="X9" s="58" t="s">
        <v>383</v>
      </c>
      <c r="Y9" s="58" t="s">
        <v>383</v>
      </c>
      <c r="Z9" s="58" t="s">
        <v>383</v>
      </c>
      <c r="AA9" s="204">
        <f t="shared" si="1"/>
        <v>0</v>
      </c>
      <c r="AB9" s="69">
        <v>0</v>
      </c>
      <c r="AC9" s="69" t="s">
        <v>383</v>
      </c>
      <c r="AD9" s="65" t="s">
        <v>383</v>
      </c>
      <c r="AE9" s="198" t="s">
        <v>383</v>
      </c>
      <c r="AF9" s="58">
        <v>0</v>
      </c>
      <c r="AG9" s="204" t="s">
        <v>383</v>
      </c>
      <c r="AH9" s="69" t="s">
        <v>383</v>
      </c>
      <c r="AI9" s="69">
        <v>0</v>
      </c>
      <c r="AJ9" s="69" t="s">
        <v>383</v>
      </c>
    </row>
    <row r="10" spans="1:36" s="123" customFormat="1" ht="30" customHeight="1" x14ac:dyDescent="0.3">
      <c r="A10" s="60" t="str">
        <f t="shared" si="0"/>
        <v>Unitil</v>
      </c>
      <c r="B10" s="66" t="s">
        <v>383</v>
      </c>
      <c r="C10" s="66" t="s">
        <v>383</v>
      </c>
      <c r="D10" s="58" t="s">
        <v>384</v>
      </c>
      <c r="E10" s="58" t="s">
        <v>385</v>
      </c>
      <c r="F10" s="58" t="s">
        <v>389</v>
      </c>
      <c r="G10" s="58" t="s">
        <v>385</v>
      </c>
      <c r="H10" s="10" t="s">
        <v>387</v>
      </c>
      <c r="I10" s="58">
        <v>0</v>
      </c>
      <c r="J10" s="58">
        <v>0</v>
      </c>
      <c r="K10" s="66" t="s">
        <v>383</v>
      </c>
      <c r="L10" s="58" t="s">
        <v>383</v>
      </c>
      <c r="M10" s="58" t="s">
        <v>383</v>
      </c>
      <c r="N10" s="65" t="s">
        <v>383</v>
      </c>
      <c r="O10" s="58" t="s">
        <v>383</v>
      </c>
      <c r="P10" s="58" t="s">
        <v>383</v>
      </c>
      <c r="Q10" s="198" t="s">
        <v>383</v>
      </c>
      <c r="R10" s="65">
        <v>0</v>
      </c>
      <c r="S10" s="58">
        <v>0</v>
      </c>
      <c r="T10" s="58">
        <v>0</v>
      </c>
      <c r="U10" s="203">
        <v>0</v>
      </c>
      <c r="V10" s="65">
        <v>0</v>
      </c>
      <c r="W10" s="65" t="s">
        <v>383</v>
      </c>
      <c r="X10" s="58" t="s">
        <v>383</v>
      </c>
      <c r="Y10" s="58" t="s">
        <v>383</v>
      </c>
      <c r="Z10" s="58" t="s">
        <v>383</v>
      </c>
      <c r="AA10" s="204">
        <f t="shared" si="1"/>
        <v>0</v>
      </c>
      <c r="AB10" s="69">
        <v>0</v>
      </c>
      <c r="AC10" s="69" t="s">
        <v>383</v>
      </c>
      <c r="AD10" s="65" t="s">
        <v>383</v>
      </c>
      <c r="AE10" s="198" t="s">
        <v>383</v>
      </c>
      <c r="AF10" s="58">
        <v>0</v>
      </c>
      <c r="AG10" s="204" t="s">
        <v>383</v>
      </c>
      <c r="AH10" s="69" t="s">
        <v>383</v>
      </c>
      <c r="AI10" s="69">
        <v>0</v>
      </c>
      <c r="AJ10" s="69" t="s">
        <v>383</v>
      </c>
    </row>
    <row r="11" spans="1:36" s="123" customFormat="1" ht="30" customHeight="1" x14ac:dyDescent="0.3">
      <c r="A11" s="60" t="str">
        <f t="shared" si="0"/>
        <v>Unitil</v>
      </c>
      <c r="B11" s="66" t="s">
        <v>383</v>
      </c>
      <c r="C11" s="66" t="s">
        <v>383</v>
      </c>
      <c r="D11" s="58" t="s">
        <v>384</v>
      </c>
      <c r="E11" s="58" t="s">
        <v>385</v>
      </c>
      <c r="F11" s="58" t="s">
        <v>390</v>
      </c>
      <c r="G11" s="58" t="s">
        <v>385</v>
      </c>
      <c r="H11" s="10" t="s">
        <v>387</v>
      </c>
      <c r="I11" s="58">
        <v>0</v>
      </c>
      <c r="J11" s="58">
        <v>0</v>
      </c>
      <c r="K11" s="66" t="s">
        <v>383</v>
      </c>
      <c r="L11" s="58" t="s">
        <v>383</v>
      </c>
      <c r="M11" s="58" t="s">
        <v>383</v>
      </c>
      <c r="N11" s="65" t="s">
        <v>383</v>
      </c>
      <c r="O11" s="58" t="s">
        <v>383</v>
      </c>
      <c r="P11" s="58" t="s">
        <v>383</v>
      </c>
      <c r="Q11" s="198" t="s">
        <v>383</v>
      </c>
      <c r="R11" s="65">
        <v>0</v>
      </c>
      <c r="S11" s="58">
        <v>0</v>
      </c>
      <c r="T11" s="58">
        <v>0</v>
      </c>
      <c r="U11" s="203">
        <v>0</v>
      </c>
      <c r="V11" s="65">
        <v>0</v>
      </c>
      <c r="W11" s="65" t="s">
        <v>383</v>
      </c>
      <c r="X11" s="58" t="s">
        <v>383</v>
      </c>
      <c r="Y11" s="58" t="s">
        <v>383</v>
      </c>
      <c r="Z11" s="58" t="s">
        <v>383</v>
      </c>
      <c r="AA11" s="204">
        <f t="shared" si="1"/>
        <v>0</v>
      </c>
      <c r="AB11" s="69">
        <v>0</v>
      </c>
      <c r="AC11" s="69" t="s">
        <v>383</v>
      </c>
      <c r="AD11" s="65" t="s">
        <v>383</v>
      </c>
      <c r="AE11" s="198" t="s">
        <v>383</v>
      </c>
      <c r="AF11" s="58">
        <v>0</v>
      </c>
      <c r="AG11" s="204" t="s">
        <v>383</v>
      </c>
      <c r="AH11" s="69" t="s">
        <v>383</v>
      </c>
      <c r="AI11" s="69">
        <v>0</v>
      </c>
      <c r="AJ11" s="69" t="s">
        <v>383</v>
      </c>
    </row>
    <row r="12" spans="1:36" s="123" customFormat="1" ht="30" customHeight="1" x14ac:dyDescent="0.3">
      <c r="A12" s="60" t="str">
        <f>$E$1</f>
        <v>Unitil</v>
      </c>
      <c r="B12" s="66" t="s">
        <v>383</v>
      </c>
      <c r="C12" s="66" t="s">
        <v>383</v>
      </c>
      <c r="D12" s="58" t="s">
        <v>384</v>
      </c>
      <c r="E12" s="58" t="s">
        <v>385</v>
      </c>
      <c r="F12" s="496"/>
      <c r="G12" s="496"/>
      <c r="H12" s="497"/>
      <c r="I12" s="58">
        <v>0</v>
      </c>
      <c r="J12" s="58">
        <v>0</v>
      </c>
      <c r="K12" s="66" t="s">
        <v>383</v>
      </c>
      <c r="L12" s="58" t="s">
        <v>383</v>
      </c>
      <c r="M12" s="58" t="s">
        <v>383</v>
      </c>
      <c r="N12" s="65" t="s">
        <v>383</v>
      </c>
      <c r="O12" s="58" t="s">
        <v>383</v>
      </c>
      <c r="P12" s="58" t="s">
        <v>383</v>
      </c>
      <c r="Q12" s="198" t="s">
        <v>383</v>
      </c>
      <c r="R12" s="65">
        <v>0</v>
      </c>
      <c r="S12" s="58">
        <v>0</v>
      </c>
      <c r="T12" s="58">
        <v>0</v>
      </c>
      <c r="U12" s="203">
        <v>0</v>
      </c>
      <c r="V12" s="65">
        <v>0</v>
      </c>
      <c r="W12" s="65" t="s">
        <v>383</v>
      </c>
      <c r="X12" s="58" t="s">
        <v>383</v>
      </c>
      <c r="Y12" s="58" t="s">
        <v>383</v>
      </c>
      <c r="Z12" s="58" t="s">
        <v>383</v>
      </c>
      <c r="AA12" s="204">
        <f t="shared" si="1"/>
        <v>0</v>
      </c>
      <c r="AB12" s="69">
        <v>0</v>
      </c>
      <c r="AC12" s="69" t="s">
        <v>383</v>
      </c>
      <c r="AD12" s="65" t="s">
        <v>383</v>
      </c>
      <c r="AE12" s="198" t="s">
        <v>383</v>
      </c>
      <c r="AF12" s="58">
        <v>0</v>
      </c>
      <c r="AG12" s="204" t="s">
        <v>383</v>
      </c>
      <c r="AH12" s="69" t="s">
        <v>383</v>
      </c>
      <c r="AI12" s="69">
        <v>0</v>
      </c>
      <c r="AJ12" s="69" t="s">
        <v>383</v>
      </c>
    </row>
    <row r="13" spans="1:36" s="123" customFormat="1" ht="30" customHeight="1" x14ac:dyDescent="0.3">
      <c r="A13" s="60" t="str">
        <f t="shared" si="0"/>
        <v>Unitil</v>
      </c>
      <c r="B13" s="66" t="s">
        <v>383</v>
      </c>
      <c r="C13" s="66" t="s">
        <v>383</v>
      </c>
      <c r="D13" s="58" t="s">
        <v>391</v>
      </c>
      <c r="E13" s="58" t="s">
        <v>385</v>
      </c>
      <c r="F13" s="58" t="s">
        <v>392</v>
      </c>
      <c r="G13" s="58" t="s">
        <v>385</v>
      </c>
      <c r="H13" s="10" t="s">
        <v>387</v>
      </c>
      <c r="I13" s="58">
        <v>0</v>
      </c>
      <c r="J13" s="58">
        <v>0</v>
      </c>
      <c r="K13" s="66" t="s">
        <v>383</v>
      </c>
      <c r="L13" s="58" t="s">
        <v>383</v>
      </c>
      <c r="M13" s="58" t="s">
        <v>383</v>
      </c>
      <c r="N13" s="65" t="s">
        <v>383</v>
      </c>
      <c r="O13" s="58" t="s">
        <v>383</v>
      </c>
      <c r="P13" s="58" t="s">
        <v>383</v>
      </c>
      <c r="Q13" s="198" t="s">
        <v>383</v>
      </c>
      <c r="R13" s="65">
        <v>0</v>
      </c>
      <c r="S13" s="58">
        <v>0</v>
      </c>
      <c r="T13" s="58">
        <v>0</v>
      </c>
      <c r="U13" s="203">
        <v>0</v>
      </c>
      <c r="V13" s="65">
        <v>0</v>
      </c>
      <c r="W13" s="65" t="s">
        <v>383</v>
      </c>
      <c r="X13" s="58" t="s">
        <v>383</v>
      </c>
      <c r="Y13" s="58" t="s">
        <v>383</v>
      </c>
      <c r="Z13" s="58" t="s">
        <v>383</v>
      </c>
      <c r="AA13" s="204">
        <f t="shared" si="1"/>
        <v>0</v>
      </c>
      <c r="AB13" s="69">
        <v>0</v>
      </c>
      <c r="AC13" s="69" t="s">
        <v>383</v>
      </c>
      <c r="AD13" s="65" t="s">
        <v>383</v>
      </c>
      <c r="AE13" s="198" t="s">
        <v>383</v>
      </c>
      <c r="AF13" s="58">
        <v>0</v>
      </c>
      <c r="AG13" s="204" t="s">
        <v>383</v>
      </c>
      <c r="AH13" s="69" t="s">
        <v>383</v>
      </c>
      <c r="AI13" s="69">
        <v>0</v>
      </c>
      <c r="AJ13" s="69" t="s">
        <v>383</v>
      </c>
    </row>
    <row r="14" spans="1:36" s="123" customFormat="1" ht="30" customHeight="1" x14ac:dyDescent="0.3">
      <c r="A14" s="60" t="str">
        <f t="shared" si="0"/>
        <v>Unitil</v>
      </c>
      <c r="B14" s="66" t="s">
        <v>383</v>
      </c>
      <c r="C14" s="66" t="s">
        <v>383</v>
      </c>
      <c r="D14" s="58" t="s">
        <v>391</v>
      </c>
      <c r="E14" s="58" t="s">
        <v>385</v>
      </c>
      <c r="F14" s="58" t="s">
        <v>393</v>
      </c>
      <c r="G14" s="58" t="s">
        <v>385</v>
      </c>
      <c r="H14" s="10" t="s">
        <v>387</v>
      </c>
      <c r="I14" s="58">
        <v>0</v>
      </c>
      <c r="J14" s="58">
        <v>0</v>
      </c>
      <c r="K14" s="66" t="s">
        <v>383</v>
      </c>
      <c r="L14" s="58" t="s">
        <v>383</v>
      </c>
      <c r="M14" s="58" t="s">
        <v>383</v>
      </c>
      <c r="N14" s="65" t="s">
        <v>383</v>
      </c>
      <c r="O14" s="58" t="s">
        <v>383</v>
      </c>
      <c r="P14" s="58" t="s">
        <v>383</v>
      </c>
      <c r="Q14" s="198" t="s">
        <v>383</v>
      </c>
      <c r="R14" s="65">
        <v>0</v>
      </c>
      <c r="S14" s="58">
        <v>0</v>
      </c>
      <c r="T14" s="58">
        <v>0</v>
      </c>
      <c r="U14" s="203">
        <v>0</v>
      </c>
      <c r="V14" s="65">
        <v>0</v>
      </c>
      <c r="W14" s="65" t="s">
        <v>383</v>
      </c>
      <c r="X14" s="58" t="s">
        <v>383</v>
      </c>
      <c r="Y14" s="58" t="s">
        <v>383</v>
      </c>
      <c r="Z14" s="58" t="s">
        <v>383</v>
      </c>
      <c r="AA14" s="204">
        <f t="shared" si="1"/>
        <v>0</v>
      </c>
      <c r="AB14" s="69">
        <v>0</v>
      </c>
      <c r="AC14" s="69" t="s">
        <v>383</v>
      </c>
      <c r="AD14" s="65" t="s">
        <v>383</v>
      </c>
      <c r="AE14" s="198" t="s">
        <v>383</v>
      </c>
      <c r="AF14" s="58">
        <v>0</v>
      </c>
      <c r="AG14" s="204" t="s">
        <v>383</v>
      </c>
      <c r="AH14" s="69" t="s">
        <v>383</v>
      </c>
      <c r="AI14" s="69">
        <v>0</v>
      </c>
      <c r="AJ14" s="69" t="s">
        <v>383</v>
      </c>
    </row>
    <row r="15" spans="1:36" s="123" customFormat="1" ht="30" customHeight="1" x14ac:dyDescent="0.3">
      <c r="A15" s="60" t="str">
        <f t="shared" si="0"/>
        <v>Unitil</v>
      </c>
      <c r="B15" s="66" t="s">
        <v>383</v>
      </c>
      <c r="C15" s="66" t="s">
        <v>383</v>
      </c>
      <c r="D15" s="58" t="s">
        <v>391</v>
      </c>
      <c r="E15" s="58" t="s">
        <v>385</v>
      </c>
      <c r="F15" s="58" t="s">
        <v>394</v>
      </c>
      <c r="G15" s="58" t="s">
        <v>385</v>
      </c>
      <c r="H15" s="10" t="s">
        <v>387</v>
      </c>
      <c r="I15" s="58">
        <v>0</v>
      </c>
      <c r="J15" s="58">
        <v>0</v>
      </c>
      <c r="K15" s="66" t="s">
        <v>383</v>
      </c>
      <c r="L15" s="58" t="s">
        <v>383</v>
      </c>
      <c r="M15" s="58" t="s">
        <v>383</v>
      </c>
      <c r="N15" s="65" t="s">
        <v>383</v>
      </c>
      <c r="O15" s="58" t="s">
        <v>383</v>
      </c>
      <c r="P15" s="58" t="s">
        <v>383</v>
      </c>
      <c r="Q15" s="198" t="s">
        <v>383</v>
      </c>
      <c r="R15" s="65">
        <v>0</v>
      </c>
      <c r="S15" s="58">
        <v>0</v>
      </c>
      <c r="T15" s="58">
        <v>0</v>
      </c>
      <c r="U15" s="203">
        <v>0</v>
      </c>
      <c r="V15" s="65">
        <v>0</v>
      </c>
      <c r="W15" s="65" t="s">
        <v>383</v>
      </c>
      <c r="X15" s="58" t="s">
        <v>383</v>
      </c>
      <c r="Y15" s="58" t="s">
        <v>383</v>
      </c>
      <c r="Z15" s="58" t="s">
        <v>383</v>
      </c>
      <c r="AA15" s="204">
        <f t="shared" si="1"/>
        <v>0</v>
      </c>
      <c r="AB15" s="69">
        <v>0</v>
      </c>
      <c r="AC15" s="69" t="s">
        <v>383</v>
      </c>
      <c r="AD15" s="65" t="s">
        <v>383</v>
      </c>
      <c r="AE15" s="198" t="s">
        <v>383</v>
      </c>
      <c r="AF15" s="58">
        <v>0</v>
      </c>
      <c r="AG15" s="204" t="s">
        <v>383</v>
      </c>
      <c r="AH15" s="69" t="s">
        <v>383</v>
      </c>
      <c r="AI15" s="69">
        <v>0</v>
      </c>
      <c r="AJ15" s="69" t="s">
        <v>383</v>
      </c>
    </row>
    <row r="16" spans="1:36" s="123" customFormat="1" ht="30" customHeight="1" x14ac:dyDescent="0.3">
      <c r="A16" s="60" t="str">
        <f t="shared" si="0"/>
        <v>Unitil</v>
      </c>
      <c r="B16" s="66" t="s">
        <v>383</v>
      </c>
      <c r="C16" s="66" t="s">
        <v>383</v>
      </c>
      <c r="D16" s="58" t="s">
        <v>391</v>
      </c>
      <c r="E16" s="58" t="s">
        <v>385</v>
      </c>
      <c r="F16" s="496"/>
      <c r="G16" s="496"/>
      <c r="H16" s="497"/>
      <c r="I16" s="58">
        <v>0</v>
      </c>
      <c r="J16" s="58">
        <v>0</v>
      </c>
      <c r="K16" s="66" t="s">
        <v>383</v>
      </c>
      <c r="L16" s="58" t="s">
        <v>383</v>
      </c>
      <c r="M16" s="58" t="s">
        <v>383</v>
      </c>
      <c r="N16" s="65" t="s">
        <v>383</v>
      </c>
      <c r="O16" s="58" t="s">
        <v>383</v>
      </c>
      <c r="P16" s="58" t="s">
        <v>383</v>
      </c>
      <c r="Q16" s="198" t="s">
        <v>383</v>
      </c>
      <c r="R16" s="65">
        <v>0</v>
      </c>
      <c r="S16" s="58">
        <v>0</v>
      </c>
      <c r="T16" s="58">
        <v>0</v>
      </c>
      <c r="U16" s="203">
        <v>0</v>
      </c>
      <c r="V16" s="65">
        <v>0</v>
      </c>
      <c r="W16" s="65" t="s">
        <v>383</v>
      </c>
      <c r="X16" s="58" t="s">
        <v>383</v>
      </c>
      <c r="Y16" s="58" t="s">
        <v>383</v>
      </c>
      <c r="Z16" s="58" t="s">
        <v>383</v>
      </c>
      <c r="AA16" s="204">
        <f t="shared" si="1"/>
        <v>0</v>
      </c>
      <c r="AB16" s="69">
        <v>0</v>
      </c>
      <c r="AC16" s="69" t="s">
        <v>383</v>
      </c>
      <c r="AD16" s="65" t="s">
        <v>383</v>
      </c>
      <c r="AE16" s="198" t="s">
        <v>383</v>
      </c>
      <c r="AF16" s="58">
        <v>0</v>
      </c>
      <c r="AG16" s="204" t="s">
        <v>383</v>
      </c>
      <c r="AH16" s="69" t="s">
        <v>383</v>
      </c>
      <c r="AI16" s="69">
        <v>0</v>
      </c>
      <c r="AJ16" s="69" t="s">
        <v>383</v>
      </c>
    </row>
    <row r="17" spans="1:36" s="123" customFormat="1" ht="30" customHeight="1" x14ac:dyDescent="0.3">
      <c r="A17" s="60" t="str">
        <f t="shared" si="0"/>
        <v>Unitil</v>
      </c>
      <c r="B17" s="66" t="s">
        <v>383</v>
      </c>
      <c r="C17" s="66" t="s">
        <v>383</v>
      </c>
      <c r="D17" s="58" t="s">
        <v>395</v>
      </c>
      <c r="E17" s="58" t="s">
        <v>395</v>
      </c>
      <c r="F17" s="58" t="s">
        <v>396</v>
      </c>
      <c r="G17" s="58" t="s">
        <v>395</v>
      </c>
      <c r="H17" s="10" t="s">
        <v>387</v>
      </c>
      <c r="I17" s="58">
        <v>0</v>
      </c>
      <c r="J17" s="58">
        <v>0</v>
      </c>
      <c r="K17" s="66" t="s">
        <v>383</v>
      </c>
      <c r="L17" s="58" t="s">
        <v>383</v>
      </c>
      <c r="M17" s="58" t="s">
        <v>383</v>
      </c>
      <c r="N17" s="65" t="s">
        <v>383</v>
      </c>
      <c r="O17" s="58" t="s">
        <v>383</v>
      </c>
      <c r="P17" s="58" t="s">
        <v>383</v>
      </c>
      <c r="Q17" s="198" t="s">
        <v>383</v>
      </c>
      <c r="R17" s="65">
        <v>0</v>
      </c>
      <c r="S17" s="58">
        <v>0</v>
      </c>
      <c r="T17" s="58">
        <v>0</v>
      </c>
      <c r="U17" s="203">
        <v>0</v>
      </c>
      <c r="V17" s="65">
        <v>1</v>
      </c>
      <c r="W17" s="65" t="s">
        <v>383</v>
      </c>
      <c r="X17" s="58" t="s">
        <v>383</v>
      </c>
      <c r="Y17" s="58" t="s">
        <v>383</v>
      </c>
      <c r="Z17" s="58" t="s">
        <v>383</v>
      </c>
      <c r="AA17" s="204">
        <f t="shared" si="1"/>
        <v>0</v>
      </c>
      <c r="AB17" s="69">
        <v>0</v>
      </c>
      <c r="AC17" s="69" t="s">
        <v>383</v>
      </c>
      <c r="AD17" s="65" t="s">
        <v>383</v>
      </c>
      <c r="AE17" s="198" t="s">
        <v>383</v>
      </c>
      <c r="AF17" s="58">
        <v>0</v>
      </c>
      <c r="AG17" s="204" t="s">
        <v>383</v>
      </c>
      <c r="AH17" s="69" t="s">
        <v>383</v>
      </c>
      <c r="AI17" s="69">
        <v>0</v>
      </c>
      <c r="AJ17" s="69" t="s">
        <v>383</v>
      </c>
    </row>
    <row r="18" spans="1:36" s="123" customFormat="1" ht="30" customHeight="1" x14ac:dyDescent="0.3">
      <c r="A18" s="60" t="str">
        <f t="shared" si="0"/>
        <v>Unitil</v>
      </c>
      <c r="B18" s="66" t="s">
        <v>383</v>
      </c>
      <c r="C18" s="66" t="s">
        <v>383</v>
      </c>
      <c r="D18" s="58" t="s">
        <v>395</v>
      </c>
      <c r="E18" s="58" t="s">
        <v>395</v>
      </c>
      <c r="F18" s="58" t="s">
        <v>397</v>
      </c>
      <c r="G18" s="58" t="s">
        <v>395</v>
      </c>
      <c r="H18" s="10" t="s">
        <v>387</v>
      </c>
      <c r="I18" s="58">
        <v>0</v>
      </c>
      <c r="J18" s="58">
        <v>0</v>
      </c>
      <c r="K18" s="66" t="s">
        <v>383</v>
      </c>
      <c r="L18" s="58" t="s">
        <v>383</v>
      </c>
      <c r="M18" s="58" t="s">
        <v>383</v>
      </c>
      <c r="N18" s="65" t="s">
        <v>383</v>
      </c>
      <c r="O18" s="58" t="s">
        <v>383</v>
      </c>
      <c r="P18" s="58" t="s">
        <v>383</v>
      </c>
      <c r="Q18" s="198" t="s">
        <v>383</v>
      </c>
      <c r="R18" s="65">
        <v>0</v>
      </c>
      <c r="S18" s="58">
        <v>0</v>
      </c>
      <c r="T18" s="58">
        <v>0</v>
      </c>
      <c r="U18" s="203">
        <v>0</v>
      </c>
      <c r="V18" s="65">
        <v>1</v>
      </c>
      <c r="W18" s="65" t="s">
        <v>383</v>
      </c>
      <c r="X18" s="58" t="s">
        <v>383</v>
      </c>
      <c r="Y18" s="58" t="s">
        <v>383</v>
      </c>
      <c r="Z18" s="58" t="s">
        <v>383</v>
      </c>
      <c r="AA18" s="204">
        <f t="shared" si="1"/>
        <v>0</v>
      </c>
      <c r="AB18" s="69">
        <v>0</v>
      </c>
      <c r="AC18" s="69" t="s">
        <v>383</v>
      </c>
      <c r="AD18" s="65" t="s">
        <v>383</v>
      </c>
      <c r="AE18" s="198" t="s">
        <v>383</v>
      </c>
      <c r="AF18" s="58">
        <v>0</v>
      </c>
      <c r="AG18" s="204" t="s">
        <v>383</v>
      </c>
      <c r="AH18" s="69" t="s">
        <v>383</v>
      </c>
      <c r="AI18" s="69">
        <v>0</v>
      </c>
      <c r="AJ18" s="69" t="s">
        <v>383</v>
      </c>
    </row>
    <row r="19" spans="1:36" s="123" customFormat="1" ht="30" customHeight="1" x14ac:dyDescent="0.3">
      <c r="A19" s="60" t="str">
        <f t="shared" si="0"/>
        <v>Unitil</v>
      </c>
      <c r="B19" s="66" t="s">
        <v>383</v>
      </c>
      <c r="C19" s="66" t="s">
        <v>383</v>
      </c>
      <c r="D19" s="58" t="s">
        <v>395</v>
      </c>
      <c r="E19" s="58" t="s">
        <v>395</v>
      </c>
      <c r="F19" s="58" t="s">
        <v>398</v>
      </c>
      <c r="G19" s="58" t="s">
        <v>399</v>
      </c>
      <c r="H19" s="10" t="s">
        <v>387</v>
      </c>
      <c r="I19" s="58">
        <v>0</v>
      </c>
      <c r="J19" s="58">
        <v>0</v>
      </c>
      <c r="K19" s="66" t="s">
        <v>383</v>
      </c>
      <c r="L19" s="58" t="s">
        <v>383</v>
      </c>
      <c r="M19" s="58" t="s">
        <v>383</v>
      </c>
      <c r="N19" s="65" t="s">
        <v>383</v>
      </c>
      <c r="O19" s="58" t="s">
        <v>383</v>
      </c>
      <c r="P19" s="58" t="s">
        <v>383</v>
      </c>
      <c r="Q19" s="198" t="s">
        <v>383</v>
      </c>
      <c r="R19" s="65">
        <v>0</v>
      </c>
      <c r="S19" s="58">
        <v>0</v>
      </c>
      <c r="T19" s="58">
        <v>0</v>
      </c>
      <c r="U19" s="203">
        <v>0</v>
      </c>
      <c r="V19" s="65">
        <v>1</v>
      </c>
      <c r="W19" s="65" t="s">
        <v>383</v>
      </c>
      <c r="X19" s="58" t="s">
        <v>383</v>
      </c>
      <c r="Y19" s="58" t="s">
        <v>383</v>
      </c>
      <c r="Z19" s="58" t="s">
        <v>383</v>
      </c>
      <c r="AA19" s="204">
        <f t="shared" si="1"/>
        <v>0</v>
      </c>
      <c r="AB19" s="69">
        <v>0</v>
      </c>
      <c r="AC19" s="69" t="s">
        <v>383</v>
      </c>
      <c r="AD19" s="65" t="s">
        <v>383</v>
      </c>
      <c r="AE19" s="198" t="s">
        <v>383</v>
      </c>
      <c r="AF19" s="58">
        <v>0</v>
      </c>
      <c r="AG19" s="204" t="s">
        <v>383</v>
      </c>
      <c r="AH19" s="69" t="s">
        <v>383</v>
      </c>
      <c r="AI19" s="69">
        <v>0</v>
      </c>
      <c r="AJ19" s="69" t="s">
        <v>383</v>
      </c>
    </row>
    <row r="20" spans="1:36" s="123" customFormat="1" ht="30" customHeight="1" x14ac:dyDescent="0.3">
      <c r="A20" s="60" t="str">
        <f t="shared" si="0"/>
        <v>Unitil</v>
      </c>
      <c r="B20" s="66" t="s">
        <v>383</v>
      </c>
      <c r="C20" s="66" t="s">
        <v>383</v>
      </c>
      <c r="D20" s="58" t="s">
        <v>395</v>
      </c>
      <c r="E20" s="58" t="s">
        <v>395</v>
      </c>
      <c r="F20" s="58" t="s">
        <v>400</v>
      </c>
      <c r="G20" s="58" t="s">
        <v>395</v>
      </c>
      <c r="H20" s="10" t="s">
        <v>387</v>
      </c>
      <c r="I20" s="58">
        <v>0</v>
      </c>
      <c r="J20" s="58">
        <v>0</v>
      </c>
      <c r="K20" s="66" t="s">
        <v>383</v>
      </c>
      <c r="L20" s="58" t="s">
        <v>383</v>
      </c>
      <c r="M20" s="58" t="s">
        <v>383</v>
      </c>
      <c r="N20" s="65" t="s">
        <v>383</v>
      </c>
      <c r="O20" s="58" t="s">
        <v>383</v>
      </c>
      <c r="P20" s="58" t="s">
        <v>383</v>
      </c>
      <c r="Q20" s="198" t="s">
        <v>383</v>
      </c>
      <c r="R20" s="65">
        <v>0</v>
      </c>
      <c r="S20" s="58">
        <v>0</v>
      </c>
      <c r="T20" s="58">
        <v>0</v>
      </c>
      <c r="U20" s="203">
        <v>0</v>
      </c>
      <c r="V20" s="65">
        <v>1</v>
      </c>
      <c r="W20" s="65" t="s">
        <v>383</v>
      </c>
      <c r="X20" s="58" t="s">
        <v>383</v>
      </c>
      <c r="Y20" s="58" t="s">
        <v>383</v>
      </c>
      <c r="Z20" s="58" t="s">
        <v>383</v>
      </c>
      <c r="AA20" s="204">
        <f t="shared" si="1"/>
        <v>0</v>
      </c>
      <c r="AB20" s="69">
        <v>0</v>
      </c>
      <c r="AC20" s="69" t="s">
        <v>383</v>
      </c>
      <c r="AD20" s="65" t="s">
        <v>383</v>
      </c>
      <c r="AE20" s="198" t="s">
        <v>383</v>
      </c>
      <c r="AF20" s="58">
        <v>0</v>
      </c>
      <c r="AG20" s="204" t="s">
        <v>383</v>
      </c>
      <c r="AH20" s="69" t="s">
        <v>383</v>
      </c>
      <c r="AI20" s="69">
        <v>0</v>
      </c>
      <c r="AJ20" s="69" t="s">
        <v>383</v>
      </c>
    </row>
    <row r="21" spans="1:36" s="123" customFormat="1" ht="30" customHeight="1" x14ac:dyDescent="0.3">
      <c r="A21" s="60" t="str">
        <f t="shared" si="0"/>
        <v>Unitil</v>
      </c>
      <c r="B21" s="66" t="s">
        <v>383</v>
      </c>
      <c r="C21" s="66" t="s">
        <v>383</v>
      </c>
      <c r="D21" s="58" t="s">
        <v>395</v>
      </c>
      <c r="E21" s="58" t="s">
        <v>395</v>
      </c>
      <c r="F21" s="496"/>
      <c r="G21" s="496"/>
      <c r="H21" s="497"/>
      <c r="I21" s="58">
        <v>0</v>
      </c>
      <c r="J21" s="58">
        <v>0</v>
      </c>
      <c r="K21" s="66" t="s">
        <v>383</v>
      </c>
      <c r="L21" s="58" t="s">
        <v>383</v>
      </c>
      <c r="M21" s="58" t="s">
        <v>383</v>
      </c>
      <c r="N21" s="65" t="s">
        <v>383</v>
      </c>
      <c r="O21" s="58" t="s">
        <v>383</v>
      </c>
      <c r="P21" s="58" t="s">
        <v>383</v>
      </c>
      <c r="Q21" s="198" t="s">
        <v>383</v>
      </c>
      <c r="R21" s="65">
        <v>0</v>
      </c>
      <c r="S21" s="58">
        <v>0</v>
      </c>
      <c r="T21" s="58">
        <v>0</v>
      </c>
      <c r="U21" s="203">
        <v>0</v>
      </c>
      <c r="V21" s="65">
        <v>0</v>
      </c>
      <c r="W21" s="65" t="s">
        <v>383</v>
      </c>
      <c r="X21" s="58" t="s">
        <v>383</v>
      </c>
      <c r="Y21" s="58" t="s">
        <v>383</v>
      </c>
      <c r="Z21" s="58" t="s">
        <v>383</v>
      </c>
      <c r="AA21" s="204">
        <f t="shared" si="1"/>
        <v>0</v>
      </c>
      <c r="AB21" s="69">
        <v>0</v>
      </c>
      <c r="AC21" s="69" t="s">
        <v>383</v>
      </c>
      <c r="AD21" s="65" t="s">
        <v>383</v>
      </c>
      <c r="AE21" s="198" t="s">
        <v>383</v>
      </c>
      <c r="AF21" s="58">
        <v>0</v>
      </c>
      <c r="AG21" s="204" t="s">
        <v>383</v>
      </c>
      <c r="AH21" s="69" t="s">
        <v>383</v>
      </c>
      <c r="AI21" s="69">
        <v>0</v>
      </c>
      <c r="AJ21" s="69" t="s">
        <v>383</v>
      </c>
    </row>
    <row r="22" spans="1:36" s="123" customFormat="1" ht="30" customHeight="1" x14ac:dyDescent="0.3">
      <c r="A22" s="60" t="str">
        <f t="shared" si="0"/>
        <v>Unitil</v>
      </c>
      <c r="B22" s="66" t="s">
        <v>383</v>
      </c>
      <c r="C22" s="66" t="s">
        <v>383</v>
      </c>
      <c r="D22" s="58" t="s">
        <v>401</v>
      </c>
      <c r="E22" s="58" t="s">
        <v>385</v>
      </c>
      <c r="F22" s="58" t="s">
        <v>402</v>
      </c>
      <c r="G22" s="58" t="s">
        <v>385</v>
      </c>
      <c r="H22" s="10" t="s">
        <v>387</v>
      </c>
      <c r="I22" s="58">
        <v>0</v>
      </c>
      <c r="J22" s="58">
        <v>0</v>
      </c>
      <c r="K22" s="66" t="s">
        <v>383</v>
      </c>
      <c r="L22" s="58" t="s">
        <v>383</v>
      </c>
      <c r="M22" s="58" t="s">
        <v>383</v>
      </c>
      <c r="N22" s="65" t="s">
        <v>383</v>
      </c>
      <c r="O22" s="58" t="s">
        <v>383</v>
      </c>
      <c r="P22" s="58" t="s">
        <v>383</v>
      </c>
      <c r="Q22" s="198" t="s">
        <v>383</v>
      </c>
      <c r="R22" s="65">
        <v>0</v>
      </c>
      <c r="S22" s="58">
        <v>0</v>
      </c>
      <c r="T22" s="58">
        <v>0</v>
      </c>
      <c r="U22" s="203">
        <v>0</v>
      </c>
      <c r="V22" s="65">
        <v>0</v>
      </c>
      <c r="W22" s="65" t="s">
        <v>383</v>
      </c>
      <c r="X22" s="58" t="s">
        <v>383</v>
      </c>
      <c r="Y22" s="58" t="s">
        <v>383</v>
      </c>
      <c r="Z22" s="58" t="s">
        <v>383</v>
      </c>
      <c r="AA22" s="204">
        <f t="shared" si="1"/>
        <v>0</v>
      </c>
      <c r="AB22" s="69">
        <v>0</v>
      </c>
      <c r="AC22" s="69" t="s">
        <v>383</v>
      </c>
      <c r="AD22" s="65" t="s">
        <v>383</v>
      </c>
      <c r="AE22" s="198" t="s">
        <v>383</v>
      </c>
      <c r="AF22" s="58">
        <v>0</v>
      </c>
      <c r="AG22" s="204" t="s">
        <v>383</v>
      </c>
      <c r="AH22" s="69" t="s">
        <v>383</v>
      </c>
      <c r="AI22" s="69">
        <v>0</v>
      </c>
      <c r="AJ22" s="69" t="s">
        <v>383</v>
      </c>
    </row>
    <row r="23" spans="1:36" s="123" customFormat="1" ht="30" customHeight="1" x14ac:dyDescent="0.3">
      <c r="A23" s="60" t="str">
        <f t="shared" si="0"/>
        <v>Unitil</v>
      </c>
      <c r="B23" s="66" t="s">
        <v>383</v>
      </c>
      <c r="C23" s="66" t="s">
        <v>383</v>
      </c>
      <c r="D23" s="58" t="s">
        <v>401</v>
      </c>
      <c r="E23" s="58" t="s">
        <v>385</v>
      </c>
      <c r="F23" s="496"/>
      <c r="G23" s="496"/>
      <c r="H23" s="497"/>
      <c r="I23" s="58">
        <v>0</v>
      </c>
      <c r="J23" s="58">
        <v>0</v>
      </c>
      <c r="K23" s="66" t="s">
        <v>383</v>
      </c>
      <c r="L23" s="58" t="s">
        <v>383</v>
      </c>
      <c r="M23" s="58" t="s">
        <v>383</v>
      </c>
      <c r="N23" s="65" t="s">
        <v>383</v>
      </c>
      <c r="O23" s="58" t="s">
        <v>383</v>
      </c>
      <c r="P23" s="58" t="s">
        <v>383</v>
      </c>
      <c r="Q23" s="198" t="s">
        <v>383</v>
      </c>
      <c r="R23" s="65">
        <v>0</v>
      </c>
      <c r="S23" s="58">
        <v>0</v>
      </c>
      <c r="T23" s="58">
        <v>0</v>
      </c>
      <c r="U23" s="203">
        <v>0</v>
      </c>
      <c r="V23" s="65">
        <v>0</v>
      </c>
      <c r="W23" s="65" t="s">
        <v>383</v>
      </c>
      <c r="X23" s="58" t="s">
        <v>383</v>
      </c>
      <c r="Y23" s="58" t="s">
        <v>383</v>
      </c>
      <c r="Z23" s="58" t="s">
        <v>383</v>
      </c>
      <c r="AA23" s="204">
        <f t="shared" si="1"/>
        <v>0</v>
      </c>
      <c r="AB23" s="69">
        <v>0</v>
      </c>
      <c r="AC23" s="69" t="s">
        <v>383</v>
      </c>
      <c r="AD23" s="65" t="s">
        <v>383</v>
      </c>
      <c r="AE23" s="198" t="s">
        <v>383</v>
      </c>
      <c r="AF23" s="58">
        <v>0</v>
      </c>
      <c r="AG23" s="204" t="s">
        <v>383</v>
      </c>
      <c r="AH23" s="69" t="s">
        <v>383</v>
      </c>
      <c r="AI23" s="69">
        <v>0</v>
      </c>
      <c r="AJ23" s="69" t="s">
        <v>383</v>
      </c>
    </row>
    <row r="24" spans="1:36" s="123" customFormat="1" ht="30" customHeight="1" x14ac:dyDescent="0.3">
      <c r="A24" s="60" t="str">
        <f t="shared" si="0"/>
        <v>Unitil</v>
      </c>
      <c r="B24" s="66" t="s">
        <v>383</v>
      </c>
      <c r="C24" s="66" t="s">
        <v>383</v>
      </c>
      <c r="D24" s="58" t="s">
        <v>403</v>
      </c>
      <c r="E24" s="58" t="s">
        <v>385</v>
      </c>
      <c r="F24" s="58">
        <v>1341</v>
      </c>
      <c r="G24" s="58" t="s">
        <v>385</v>
      </c>
      <c r="H24" s="10" t="s">
        <v>387</v>
      </c>
      <c r="I24" s="58">
        <v>0</v>
      </c>
      <c r="J24" s="58">
        <v>0</v>
      </c>
      <c r="K24" s="66" t="s">
        <v>383</v>
      </c>
      <c r="L24" s="58" t="s">
        <v>383</v>
      </c>
      <c r="M24" s="58" t="s">
        <v>383</v>
      </c>
      <c r="N24" s="65" t="s">
        <v>383</v>
      </c>
      <c r="O24" s="58" t="s">
        <v>383</v>
      </c>
      <c r="P24" s="58" t="s">
        <v>383</v>
      </c>
      <c r="Q24" s="198" t="s">
        <v>383</v>
      </c>
      <c r="R24" s="65">
        <v>0</v>
      </c>
      <c r="S24" s="58">
        <v>0</v>
      </c>
      <c r="T24" s="58">
        <v>0</v>
      </c>
      <c r="U24" s="203">
        <v>0</v>
      </c>
      <c r="V24" s="65">
        <v>0</v>
      </c>
      <c r="W24" s="65" t="s">
        <v>383</v>
      </c>
      <c r="X24" s="58" t="s">
        <v>383</v>
      </c>
      <c r="Y24" s="58" t="s">
        <v>383</v>
      </c>
      <c r="Z24" s="58" t="s">
        <v>383</v>
      </c>
      <c r="AA24" s="204">
        <f t="shared" si="1"/>
        <v>0</v>
      </c>
      <c r="AB24" s="69">
        <v>0</v>
      </c>
      <c r="AC24" s="69" t="s">
        <v>383</v>
      </c>
      <c r="AD24" s="65" t="s">
        <v>383</v>
      </c>
      <c r="AE24" s="198" t="s">
        <v>383</v>
      </c>
      <c r="AF24" s="58">
        <v>0</v>
      </c>
      <c r="AG24" s="204" t="s">
        <v>383</v>
      </c>
      <c r="AH24" s="69" t="s">
        <v>383</v>
      </c>
      <c r="AI24" s="69">
        <v>0</v>
      </c>
      <c r="AJ24" s="69" t="s">
        <v>383</v>
      </c>
    </row>
    <row r="25" spans="1:36" s="123" customFormat="1" ht="30" customHeight="1" x14ac:dyDescent="0.3">
      <c r="A25" s="60" t="str">
        <f t="shared" si="0"/>
        <v>Unitil</v>
      </c>
      <c r="B25" s="66" t="s">
        <v>383</v>
      </c>
      <c r="C25" s="66" t="s">
        <v>383</v>
      </c>
      <c r="D25" s="58" t="s">
        <v>403</v>
      </c>
      <c r="E25" s="58" t="s">
        <v>385</v>
      </c>
      <c r="F25" s="496"/>
      <c r="G25" s="496"/>
      <c r="H25" s="497"/>
      <c r="I25" s="58">
        <v>0</v>
      </c>
      <c r="J25" s="58">
        <v>0</v>
      </c>
      <c r="K25" s="66" t="s">
        <v>383</v>
      </c>
      <c r="L25" s="58" t="s">
        <v>383</v>
      </c>
      <c r="M25" s="58" t="s">
        <v>383</v>
      </c>
      <c r="N25" s="65" t="s">
        <v>383</v>
      </c>
      <c r="O25" s="58" t="s">
        <v>383</v>
      </c>
      <c r="P25" s="58" t="s">
        <v>383</v>
      </c>
      <c r="Q25" s="198" t="s">
        <v>383</v>
      </c>
      <c r="R25" s="65">
        <v>0</v>
      </c>
      <c r="S25" s="58">
        <v>0</v>
      </c>
      <c r="T25" s="58">
        <v>0</v>
      </c>
      <c r="U25" s="203">
        <v>0</v>
      </c>
      <c r="V25" s="65">
        <v>0</v>
      </c>
      <c r="W25" s="65" t="s">
        <v>383</v>
      </c>
      <c r="X25" s="58" t="s">
        <v>383</v>
      </c>
      <c r="Y25" s="58" t="s">
        <v>383</v>
      </c>
      <c r="Z25" s="58" t="s">
        <v>383</v>
      </c>
      <c r="AA25" s="204">
        <f t="shared" si="1"/>
        <v>0</v>
      </c>
      <c r="AB25" s="69">
        <v>0</v>
      </c>
      <c r="AC25" s="69" t="s">
        <v>383</v>
      </c>
      <c r="AD25" s="65" t="s">
        <v>383</v>
      </c>
      <c r="AE25" s="198" t="s">
        <v>383</v>
      </c>
      <c r="AF25" s="58">
        <v>0</v>
      </c>
      <c r="AG25" s="204" t="s">
        <v>383</v>
      </c>
      <c r="AH25" s="69" t="s">
        <v>383</v>
      </c>
      <c r="AI25" s="69">
        <v>0</v>
      </c>
      <c r="AJ25" s="69" t="s">
        <v>383</v>
      </c>
    </row>
    <row r="26" spans="1:36" s="123" customFormat="1" ht="30" customHeight="1" x14ac:dyDescent="0.3">
      <c r="A26" s="60" t="str">
        <f t="shared" si="0"/>
        <v>Unitil</v>
      </c>
      <c r="B26" s="66" t="s">
        <v>383</v>
      </c>
      <c r="C26" s="66" t="s">
        <v>383</v>
      </c>
      <c r="D26" s="58" t="s">
        <v>404</v>
      </c>
      <c r="E26" s="58" t="s">
        <v>385</v>
      </c>
      <c r="F26" s="58" t="s">
        <v>405</v>
      </c>
      <c r="G26" s="58" t="s">
        <v>385</v>
      </c>
      <c r="H26" s="10" t="s">
        <v>387</v>
      </c>
      <c r="I26" s="58">
        <v>0</v>
      </c>
      <c r="J26" s="58">
        <v>0</v>
      </c>
      <c r="K26" s="66" t="s">
        <v>383</v>
      </c>
      <c r="L26" s="58" t="s">
        <v>383</v>
      </c>
      <c r="M26" s="58" t="s">
        <v>383</v>
      </c>
      <c r="N26" s="65" t="s">
        <v>383</v>
      </c>
      <c r="O26" s="58" t="s">
        <v>383</v>
      </c>
      <c r="P26" s="58" t="s">
        <v>383</v>
      </c>
      <c r="Q26" s="198" t="s">
        <v>383</v>
      </c>
      <c r="R26" s="65">
        <v>0</v>
      </c>
      <c r="S26" s="58">
        <v>0</v>
      </c>
      <c r="T26" s="58">
        <v>0</v>
      </c>
      <c r="U26" s="203">
        <v>0</v>
      </c>
      <c r="V26" s="65">
        <v>0</v>
      </c>
      <c r="W26" s="65" t="s">
        <v>383</v>
      </c>
      <c r="X26" s="58" t="s">
        <v>383</v>
      </c>
      <c r="Y26" s="58" t="s">
        <v>383</v>
      </c>
      <c r="Z26" s="58" t="s">
        <v>383</v>
      </c>
      <c r="AA26" s="204">
        <f t="shared" si="1"/>
        <v>0</v>
      </c>
      <c r="AB26" s="69">
        <v>0</v>
      </c>
      <c r="AC26" s="69" t="s">
        <v>383</v>
      </c>
      <c r="AD26" s="65" t="s">
        <v>383</v>
      </c>
      <c r="AE26" s="198" t="s">
        <v>383</v>
      </c>
      <c r="AF26" s="58">
        <v>0</v>
      </c>
      <c r="AG26" s="204" t="s">
        <v>383</v>
      </c>
      <c r="AH26" s="69" t="s">
        <v>383</v>
      </c>
      <c r="AI26" s="69">
        <v>0</v>
      </c>
      <c r="AJ26" s="69" t="s">
        <v>383</v>
      </c>
    </row>
    <row r="27" spans="1:36" s="123" customFormat="1" ht="30" customHeight="1" x14ac:dyDescent="0.3">
      <c r="A27" s="60" t="str">
        <f t="shared" si="0"/>
        <v>Unitil</v>
      </c>
      <c r="B27" s="66" t="s">
        <v>383</v>
      </c>
      <c r="C27" s="66" t="s">
        <v>383</v>
      </c>
      <c r="D27" s="58" t="s">
        <v>404</v>
      </c>
      <c r="E27" s="58" t="s">
        <v>385</v>
      </c>
      <c r="F27" s="58" t="s">
        <v>406</v>
      </c>
      <c r="G27" s="58" t="s">
        <v>385</v>
      </c>
      <c r="H27" s="10" t="s">
        <v>387</v>
      </c>
      <c r="I27" s="58">
        <v>0</v>
      </c>
      <c r="J27" s="58">
        <v>0</v>
      </c>
      <c r="K27" s="66" t="s">
        <v>383</v>
      </c>
      <c r="L27" s="58" t="s">
        <v>383</v>
      </c>
      <c r="M27" s="58" t="s">
        <v>383</v>
      </c>
      <c r="N27" s="65" t="s">
        <v>383</v>
      </c>
      <c r="O27" s="58" t="s">
        <v>383</v>
      </c>
      <c r="P27" s="58" t="s">
        <v>383</v>
      </c>
      <c r="Q27" s="198" t="s">
        <v>383</v>
      </c>
      <c r="R27" s="65">
        <v>0</v>
      </c>
      <c r="S27" s="58">
        <v>0</v>
      </c>
      <c r="T27" s="58">
        <v>0</v>
      </c>
      <c r="U27" s="203">
        <v>0</v>
      </c>
      <c r="V27" s="65">
        <v>0</v>
      </c>
      <c r="W27" s="65" t="s">
        <v>383</v>
      </c>
      <c r="X27" s="58" t="s">
        <v>383</v>
      </c>
      <c r="Y27" s="58" t="s">
        <v>383</v>
      </c>
      <c r="Z27" s="58" t="s">
        <v>383</v>
      </c>
      <c r="AA27" s="204">
        <f t="shared" si="1"/>
        <v>0</v>
      </c>
      <c r="AB27" s="69">
        <v>0</v>
      </c>
      <c r="AC27" s="69" t="s">
        <v>383</v>
      </c>
      <c r="AD27" s="65" t="s">
        <v>383</v>
      </c>
      <c r="AE27" s="198" t="s">
        <v>383</v>
      </c>
      <c r="AF27" s="58">
        <v>0</v>
      </c>
      <c r="AG27" s="204" t="s">
        <v>383</v>
      </c>
      <c r="AH27" s="69" t="s">
        <v>383</v>
      </c>
      <c r="AI27" s="69">
        <v>0</v>
      </c>
      <c r="AJ27" s="69" t="s">
        <v>383</v>
      </c>
    </row>
    <row r="28" spans="1:36" s="123" customFormat="1" ht="30" customHeight="1" x14ac:dyDescent="0.3">
      <c r="A28" s="60" t="str">
        <f t="shared" si="0"/>
        <v>Unitil</v>
      </c>
      <c r="B28" s="66" t="s">
        <v>383</v>
      </c>
      <c r="C28" s="66" t="s">
        <v>383</v>
      </c>
      <c r="D28" s="58" t="s">
        <v>404</v>
      </c>
      <c r="E28" s="58" t="s">
        <v>385</v>
      </c>
      <c r="F28" s="58" t="s">
        <v>407</v>
      </c>
      <c r="G28" s="58" t="s">
        <v>385</v>
      </c>
      <c r="H28" s="10" t="s">
        <v>387</v>
      </c>
      <c r="I28" s="58">
        <v>0</v>
      </c>
      <c r="J28" s="58">
        <v>0</v>
      </c>
      <c r="K28" s="66" t="s">
        <v>383</v>
      </c>
      <c r="L28" s="58" t="s">
        <v>383</v>
      </c>
      <c r="M28" s="58" t="s">
        <v>383</v>
      </c>
      <c r="N28" s="65" t="s">
        <v>383</v>
      </c>
      <c r="O28" s="58" t="s">
        <v>383</v>
      </c>
      <c r="P28" s="58" t="s">
        <v>383</v>
      </c>
      <c r="Q28" s="198" t="s">
        <v>383</v>
      </c>
      <c r="R28" s="65">
        <v>0</v>
      </c>
      <c r="S28" s="58">
        <v>0</v>
      </c>
      <c r="T28" s="58">
        <v>0</v>
      </c>
      <c r="U28" s="203">
        <v>0</v>
      </c>
      <c r="V28" s="65">
        <v>0</v>
      </c>
      <c r="W28" s="65" t="s">
        <v>383</v>
      </c>
      <c r="X28" s="58" t="s">
        <v>383</v>
      </c>
      <c r="Y28" s="58" t="s">
        <v>383</v>
      </c>
      <c r="Z28" s="58" t="s">
        <v>383</v>
      </c>
      <c r="AA28" s="204">
        <f t="shared" si="1"/>
        <v>0</v>
      </c>
      <c r="AB28" s="69">
        <v>0</v>
      </c>
      <c r="AC28" s="69" t="s">
        <v>383</v>
      </c>
      <c r="AD28" s="65" t="s">
        <v>383</v>
      </c>
      <c r="AE28" s="198" t="s">
        <v>383</v>
      </c>
      <c r="AF28" s="58">
        <v>0</v>
      </c>
      <c r="AG28" s="204" t="s">
        <v>383</v>
      </c>
      <c r="AH28" s="69" t="s">
        <v>383</v>
      </c>
      <c r="AI28" s="69">
        <v>0</v>
      </c>
      <c r="AJ28" s="69" t="s">
        <v>383</v>
      </c>
    </row>
    <row r="29" spans="1:36" s="123" customFormat="1" ht="30" customHeight="1" x14ac:dyDescent="0.3">
      <c r="A29" s="60" t="str">
        <f t="shared" si="0"/>
        <v>Unitil</v>
      </c>
      <c r="B29" s="66" t="s">
        <v>383</v>
      </c>
      <c r="C29" s="66" t="s">
        <v>383</v>
      </c>
      <c r="D29" s="58" t="s">
        <v>404</v>
      </c>
      <c r="E29" s="58" t="s">
        <v>385</v>
      </c>
      <c r="F29" s="58" t="s">
        <v>408</v>
      </c>
      <c r="G29" s="58" t="s">
        <v>385</v>
      </c>
      <c r="H29" s="10" t="s">
        <v>387</v>
      </c>
      <c r="I29" s="58">
        <v>0</v>
      </c>
      <c r="J29" s="58">
        <v>0</v>
      </c>
      <c r="K29" s="66" t="s">
        <v>383</v>
      </c>
      <c r="L29" s="58" t="s">
        <v>383</v>
      </c>
      <c r="M29" s="58" t="s">
        <v>383</v>
      </c>
      <c r="N29" s="65" t="s">
        <v>383</v>
      </c>
      <c r="O29" s="58" t="s">
        <v>383</v>
      </c>
      <c r="P29" s="58" t="s">
        <v>383</v>
      </c>
      <c r="Q29" s="198" t="s">
        <v>383</v>
      </c>
      <c r="R29" s="65">
        <v>0</v>
      </c>
      <c r="S29" s="58">
        <v>0</v>
      </c>
      <c r="T29" s="58">
        <v>0</v>
      </c>
      <c r="U29" s="203">
        <v>0</v>
      </c>
      <c r="V29" s="65">
        <v>0</v>
      </c>
      <c r="W29" s="65" t="s">
        <v>383</v>
      </c>
      <c r="X29" s="58" t="s">
        <v>383</v>
      </c>
      <c r="Y29" s="58" t="s">
        <v>383</v>
      </c>
      <c r="Z29" s="58" t="s">
        <v>383</v>
      </c>
      <c r="AA29" s="204">
        <f t="shared" si="1"/>
        <v>0</v>
      </c>
      <c r="AB29" s="69">
        <v>0</v>
      </c>
      <c r="AC29" s="69" t="s">
        <v>383</v>
      </c>
      <c r="AD29" s="65" t="s">
        <v>383</v>
      </c>
      <c r="AE29" s="198" t="s">
        <v>383</v>
      </c>
      <c r="AF29" s="58">
        <v>0</v>
      </c>
      <c r="AG29" s="204" t="s">
        <v>383</v>
      </c>
      <c r="AH29" s="69" t="s">
        <v>383</v>
      </c>
      <c r="AI29" s="69">
        <v>0</v>
      </c>
      <c r="AJ29" s="69" t="s">
        <v>383</v>
      </c>
    </row>
    <row r="30" spans="1:36" s="123" customFormat="1" ht="30" customHeight="1" x14ac:dyDescent="0.3">
      <c r="A30" s="60" t="str">
        <f t="shared" si="0"/>
        <v>Unitil</v>
      </c>
      <c r="B30" s="66" t="s">
        <v>383</v>
      </c>
      <c r="C30" s="66" t="s">
        <v>383</v>
      </c>
      <c r="D30" s="58" t="s">
        <v>404</v>
      </c>
      <c r="E30" s="58" t="s">
        <v>385</v>
      </c>
      <c r="F30" s="58" t="s">
        <v>409</v>
      </c>
      <c r="G30" s="58" t="s">
        <v>385</v>
      </c>
      <c r="H30" s="10" t="s">
        <v>387</v>
      </c>
      <c r="I30" s="58">
        <v>0</v>
      </c>
      <c r="J30" s="58">
        <v>0</v>
      </c>
      <c r="K30" s="66" t="s">
        <v>383</v>
      </c>
      <c r="L30" s="58" t="s">
        <v>383</v>
      </c>
      <c r="M30" s="58" t="s">
        <v>383</v>
      </c>
      <c r="N30" s="65" t="s">
        <v>383</v>
      </c>
      <c r="O30" s="58" t="s">
        <v>383</v>
      </c>
      <c r="P30" s="58" t="s">
        <v>383</v>
      </c>
      <c r="Q30" s="198" t="s">
        <v>383</v>
      </c>
      <c r="R30" s="65">
        <v>0</v>
      </c>
      <c r="S30" s="58">
        <v>0</v>
      </c>
      <c r="T30" s="58">
        <v>0</v>
      </c>
      <c r="U30" s="203">
        <v>0</v>
      </c>
      <c r="V30" s="65">
        <v>0</v>
      </c>
      <c r="W30" s="65" t="s">
        <v>383</v>
      </c>
      <c r="X30" s="58" t="s">
        <v>383</v>
      </c>
      <c r="Y30" s="58" t="s">
        <v>383</v>
      </c>
      <c r="Z30" s="58" t="s">
        <v>383</v>
      </c>
      <c r="AA30" s="204">
        <f t="shared" si="1"/>
        <v>0</v>
      </c>
      <c r="AB30" s="69">
        <v>0</v>
      </c>
      <c r="AC30" s="69" t="s">
        <v>383</v>
      </c>
      <c r="AD30" s="65" t="s">
        <v>383</v>
      </c>
      <c r="AE30" s="198" t="s">
        <v>383</v>
      </c>
      <c r="AF30" s="58">
        <v>0</v>
      </c>
      <c r="AG30" s="204" t="s">
        <v>383</v>
      </c>
      <c r="AH30" s="69" t="s">
        <v>383</v>
      </c>
      <c r="AI30" s="69">
        <v>0</v>
      </c>
      <c r="AJ30" s="69" t="s">
        <v>383</v>
      </c>
    </row>
    <row r="31" spans="1:36" s="123" customFormat="1" ht="30" customHeight="1" x14ac:dyDescent="0.3">
      <c r="A31" s="60" t="str">
        <f t="shared" si="0"/>
        <v>Unitil</v>
      </c>
      <c r="B31" s="66" t="s">
        <v>383</v>
      </c>
      <c r="C31" s="66" t="s">
        <v>383</v>
      </c>
      <c r="D31" s="58" t="s">
        <v>404</v>
      </c>
      <c r="E31" s="58" t="s">
        <v>385</v>
      </c>
      <c r="F31" s="58" t="s">
        <v>410</v>
      </c>
      <c r="G31" s="58" t="s">
        <v>385</v>
      </c>
      <c r="H31" s="10" t="s">
        <v>387</v>
      </c>
      <c r="I31" s="58">
        <v>0</v>
      </c>
      <c r="J31" s="58">
        <v>0</v>
      </c>
      <c r="K31" s="66" t="s">
        <v>383</v>
      </c>
      <c r="L31" s="58" t="s">
        <v>383</v>
      </c>
      <c r="M31" s="58" t="s">
        <v>383</v>
      </c>
      <c r="N31" s="65" t="s">
        <v>383</v>
      </c>
      <c r="O31" s="58" t="s">
        <v>383</v>
      </c>
      <c r="P31" s="58" t="s">
        <v>383</v>
      </c>
      <c r="Q31" s="198" t="s">
        <v>383</v>
      </c>
      <c r="R31" s="65">
        <v>0</v>
      </c>
      <c r="S31" s="58">
        <v>0</v>
      </c>
      <c r="T31" s="58">
        <v>0</v>
      </c>
      <c r="U31" s="203">
        <v>0</v>
      </c>
      <c r="V31" s="65">
        <v>0</v>
      </c>
      <c r="W31" s="65" t="s">
        <v>383</v>
      </c>
      <c r="X31" s="58" t="s">
        <v>383</v>
      </c>
      <c r="Y31" s="58" t="s">
        <v>383</v>
      </c>
      <c r="Z31" s="58" t="s">
        <v>383</v>
      </c>
      <c r="AA31" s="204">
        <f t="shared" si="1"/>
        <v>0</v>
      </c>
      <c r="AB31" s="69">
        <v>0</v>
      </c>
      <c r="AC31" s="69" t="s">
        <v>383</v>
      </c>
      <c r="AD31" s="65" t="s">
        <v>383</v>
      </c>
      <c r="AE31" s="198" t="s">
        <v>383</v>
      </c>
      <c r="AF31" s="58">
        <v>0</v>
      </c>
      <c r="AG31" s="204" t="s">
        <v>383</v>
      </c>
      <c r="AH31" s="69" t="s">
        <v>383</v>
      </c>
      <c r="AI31" s="69">
        <v>0</v>
      </c>
      <c r="AJ31" s="69" t="s">
        <v>383</v>
      </c>
    </row>
    <row r="32" spans="1:36" s="123" customFormat="1" ht="30" customHeight="1" x14ac:dyDescent="0.3">
      <c r="A32" s="60" t="str">
        <f t="shared" si="0"/>
        <v>Unitil</v>
      </c>
      <c r="B32" s="66" t="s">
        <v>383</v>
      </c>
      <c r="C32" s="66" t="s">
        <v>383</v>
      </c>
      <c r="D32" s="58" t="s">
        <v>404</v>
      </c>
      <c r="E32" s="58" t="s">
        <v>385</v>
      </c>
      <c r="F32" s="58" t="s">
        <v>411</v>
      </c>
      <c r="G32" s="58" t="s">
        <v>385</v>
      </c>
      <c r="H32" s="10" t="s">
        <v>387</v>
      </c>
      <c r="I32" s="58">
        <v>0</v>
      </c>
      <c r="J32" s="58">
        <v>0</v>
      </c>
      <c r="K32" s="66" t="s">
        <v>383</v>
      </c>
      <c r="L32" s="58" t="s">
        <v>383</v>
      </c>
      <c r="M32" s="58" t="s">
        <v>383</v>
      </c>
      <c r="N32" s="65" t="s">
        <v>383</v>
      </c>
      <c r="O32" s="58" t="s">
        <v>383</v>
      </c>
      <c r="P32" s="58" t="s">
        <v>383</v>
      </c>
      <c r="Q32" s="198" t="s">
        <v>383</v>
      </c>
      <c r="R32" s="65">
        <v>0</v>
      </c>
      <c r="S32" s="58">
        <v>0</v>
      </c>
      <c r="T32" s="58">
        <v>0</v>
      </c>
      <c r="U32" s="203">
        <v>0</v>
      </c>
      <c r="V32" s="65">
        <v>0</v>
      </c>
      <c r="W32" s="65" t="s">
        <v>383</v>
      </c>
      <c r="X32" s="58" t="s">
        <v>383</v>
      </c>
      <c r="Y32" s="58" t="s">
        <v>383</v>
      </c>
      <c r="Z32" s="58" t="s">
        <v>383</v>
      </c>
      <c r="AA32" s="204">
        <f t="shared" si="1"/>
        <v>0</v>
      </c>
      <c r="AB32" s="69">
        <v>0</v>
      </c>
      <c r="AC32" s="69" t="s">
        <v>383</v>
      </c>
      <c r="AD32" s="65" t="s">
        <v>383</v>
      </c>
      <c r="AE32" s="198" t="s">
        <v>383</v>
      </c>
      <c r="AF32" s="58">
        <v>0</v>
      </c>
      <c r="AG32" s="204" t="s">
        <v>383</v>
      </c>
      <c r="AH32" s="69" t="s">
        <v>383</v>
      </c>
      <c r="AI32" s="69">
        <v>0</v>
      </c>
      <c r="AJ32" s="69" t="s">
        <v>383</v>
      </c>
    </row>
    <row r="33" spans="1:36" s="123" customFormat="1" ht="30" customHeight="1" x14ac:dyDescent="0.3">
      <c r="A33" s="60" t="str">
        <f t="shared" si="0"/>
        <v>Unitil</v>
      </c>
      <c r="B33" s="66" t="s">
        <v>383</v>
      </c>
      <c r="C33" s="66" t="s">
        <v>383</v>
      </c>
      <c r="D33" s="58" t="s">
        <v>404</v>
      </c>
      <c r="E33" s="58" t="s">
        <v>385</v>
      </c>
      <c r="F33" s="58" t="s">
        <v>412</v>
      </c>
      <c r="G33" s="58" t="s">
        <v>385</v>
      </c>
      <c r="H33" s="10" t="s">
        <v>387</v>
      </c>
      <c r="I33" s="58">
        <v>0</v>
      </c>
      <c r="J33" s="58">
        <v>0</v>
      </c>
      <c r="K33" s="66" t="s">
        <v>383</v>
      </c>
      <c r="L33" s="58" t="s">
        <v>383</v>
      </c>
      <c r="M33" s="58" t="s">
        <v>383</v>
      </c>
      <c r="N33" s="65" t="s">
        <v>383</v>
      </c>
      <c r="O33" s="58" t="s">
        <v>383</v>
      </c>
      <c r="P33" s="58" t="s">
        <v>383</v>
      </c>
      <c r="Q33" s="198" t="s">
        <v>383</v>
      </c>
      <c r="R33" s="65">
        <v>0</v>
      </c>
      <c r="S33" s="58">
        <v>0</v>
      </c>
      <c r="T33" s="58">
        <v>0</v>
      </c>
      <c r="U33" s="203">
        <v>0</v>
      </c>
      <c r="V33" s="65">
        <v>0</v>
      </c>
      <c r="W33" s="65" t="s">
        <v>383</v>
      </c>
      <c r="X33" s="58" t="s">
        <v>383</v>
      </c>
      <c r="Y33" s="58" t="s">
        <v>383</v>
      </c>
      <c r="Z33" s="58" t="s">
        <v>383</v>
      </c>
      <c r="AA33" s="204">
        <f t="shared" si="1"/>
        <v>0</v>
      </c>
      <c r="AB33" s="69">
        <v>0</v>
      </c>
      <c r="AC33" s="69" t="s">
        <v>383</v>
      </c>
      <c r="AD33" s="65" t="s">
        <v>383</v>
      </c>
      <c r="AE33" s="198" t="s">
        <v>383</v>
      </c>
      <c r="AF33" s="58">
        <v>0</v>
      </c>
      <c r="AG33" s="204" t="s">
        <v>383</v>
      </c>
      <c r="AH33" s="69" t="s">
        <v>383</v>
      </c>
      <c r="AI33" s="69">
        <v>0</v>
      </c>
      <c r="AJ33" s="69" t="s">
        <v>383</v>
      </c>
    </row>
    <row r="34" spans="1:36" s="123" customFormat="1" ht="30" customHeight="1" x14ac:dyDescent="0.3">
      <c r="A34" s="60" t="str">
        <f t="shared" si="0"/>
        <v>Unitil</v>
      </c>
      <c r="B34" s="66" t="s">
        <v>383</v>
      </c>
      <c r="C34" s="66" t="s">
        <v>383</v>
      </c>
      <c r="D34" s="58" t="s">
        <v>404</v>
      </c>
      <c r="E34" s="58" t="s">
        <v>385</v>
      </c>
      <c r="F34" s="58" t="s">
        <v>413</v>
      </c>
      <c r="G34" s="58" t="s">
        <v>385</v>
      </c>
      <c r="H34" s="10" t="s">
        <v>387</v>
      </c>
      <c r="I34" s="58">
        <v>0</v>
      </c>
      <c r="J34" s="58">
        <v>0</v>
      </c>
      <c r="K34" s="66" t="s">
        <v>383</v>
      </c>
      <c r="L34" s="58" t="s">
        <v>383</v>
      </c>
      <c r="M34" s="58" t="s">
        <v>383</v>
      </c>
      <c r="N34" s="65" t="s">
        <v>383</v>
      </c>
      <c r="O34" s="58" t="s">
        <v>383</v>
      </c>
      <c r="P34" s="58" t="s">
        <v>383</v>
      </c>
      <c r="Q34" s="198" t="s">
        <v>383</v>
      </c>
      <c r="R34" s="65">
        <v>0</v>
      </c>
      <c r="S34" s="58">
        <v>0</v>
      </c>
      <c r="T34" s="58">
        <v>0</v>
      </c>
      <c r="U34" s="203">
        <v>0</v>
      </c>
      <c r="V34" s="65">
        <v>0</v>
      </c>
      <c r="W34" s="65" t="s">
        <v>383</v>
      </c>
      <c r="X34" s="58" t="s">
        <v>383</v>
      </c>
      <c r="Y34" s="58" t="s">
        <v>383</v>
      </c>
      <c r="Z34" s="58" t="s">
        <v>383</v>
      </c>
      <c r="AA34" s="204">
        <f t="shared" si="1"/>
        <v>0</v>
      </c>
      <c r="AB34" s="69">
        <v>0</v>
      </c>
      <c r="AC34" s="69" t="s">
        <v>383</v>
      </c>
      <c r="AD34" s="65" t="s">
        <v>383</v>
      </c>
      <c r="AE34" s="198" t="s">
        <v>383</v>
      </c>
      <c r="AF34" s="58">
        <v>0</v>
      </c>
      <c r="AG34" s="204" t="s">
        <v>383</v>
      </c>
      <c r="AH34" s="69" t="s">
        <v>383</v>
      </c>
      <c r="AI34" s="69">
        <v>0</v>
      </c>
      <c r="AJ34" s="69" t="s">
        <v>383</v>
      </c>
    </row>
    <row r="35" spans="1:36" s="123" customFormat="1" ht="30" customHeight="1" x14ac:dyDescent="0.3">
      <c r="A35" s="60" t="str">
        <f t="shared" si="0"/>
        <v>Unitil</v>
      </c>
      <c r="B35" s="66" t="s">
        <v>383</v>
      </c>
      <c r="C35" s="66" t="s">
        <v>383</v>
      </c>
      <c r="D35" s="58" t="s">
        <v>404</v>
      </c>
      <c r="E35" s="58" t="s">
        <v>385</v>
      </c>
      <c r="F35" s="496"/>
      <c r="G35" s="496"/>
      <c r="H35" s="497"/>
      <c r="I35" s="58">
        <v>0</v>
      </c>
      <c r="J35" s="58">
        <v>0</v>
      </c>
      <c r="K35" s="66" t="s">
        <v>383</v>
      </c>
      <c r="L35" s="58" t="s">
        <v>383</v>
      </c>
      <c r="M35" s="58" t="s">
        <v>383</v>
      </c>
      <c r="N35" s="65" t="s">
        <v>383</v>
      </c>
      <c r="O35" s="58" t="s">
        <v>383</v>
      </c>
      <c r="P35" s="58" t="s">
        <v>383</v>
      </c>
      <c r="Q35" s="198" t="s">
        <v>383</v>
      </c>
      <c r="R35" s="65">
        <v>0</v>
      </c>
      <c r="S35" s="58">
        <v>0</v>
      </c>
      <c r="T35" s="58">
        <v>0</v>
      </c>
      <c r="U35" s="203">
        <v>0</v>
      </c>
      <c r="V35" s="65">
        <v>0</v>
      </c>
      <c r="W35" s="65" t="s">
        <v>383</v>
      </c>
      <c r="X35" s="58" t="s">
        <v>383</v>
      </c>
      <c r="Y35" s="58" t="s">
        <v>383</v>
      </c>
      <c r="Z35" s="58" t="s">
        <v>383</v>
      </c>
      <c r="AA35" s="204">
        <f t="shared" si="1"/>
        <v>0</v>
      </c>
      <c r="AB35" s="69">
        <v>0</v>
      </c>
      <c r="AC35" s="69" t="s">
        <v>383</v>
      </c>
      <c r="AD35" s="65" t="s">
        <v>383</v>
      </c>
      <c r="AE35" s="198" t="s">
        <v>383</v>
      </c>
      <c r="AF35" s="58">
        <v>0</v>
      </c>
      <c r="AG35" s="204" t="s">
        <v>383</v>
      </c>
      <c r="AH35" s="69" t="s">
        <v>383</v>
      </c>
      <c r="AI35" s="69">
        <v>0</v>
      </c>
      <c r="AJ35" s="69" t="s">
        <v>383</v>
      </c>
    </row>
    <row r="36" spans="1:36" s="123" customFormat="1" ht="30" customHeight="1" x14ac:dyDescent="0.3">
      <c r="A36" s="60" t="str">
        <f t="shared" si="0"/>
        <v>Unitil</v>
      </c>
      <c r="B36" s="66" t="s">
        <v>383</v>
      </c>
      <c r="C36" s="66" t="s">
        <v>383</v>
      </c>
      <c r="D36" s="58" t="s">
        <v>414</v>
      </c>
      <c r="E36" s="58" t="s">
        <v>385</v>
      </c>
      <c r="F36" s="58" t="s">
        <v>415</v>
      </c>
      <c r="G36" s="58" t="s">
        <v>385</v>
      </c>
      <c r="H36" s="10" t="s">
        <v>387</v>
      </c>
      <c r="I36" s="58">
        <v>0</v>
      </c>
      <c r="J36" s="58">
        <v>0</v>
      </c>
      <c r="K36" s="66" t="s">
        <v>383</v>
      </c>
      <c r="L36" s="58" t="s">
        <v>383</v>
      </c>
      <c r="M36" s="58" t="s">
        <v>383</v>
      </c>
      <c r="N36" s="65" t="s">
        <v>383</v>
      </c>
      <c r="O36" s="58" t="s">
        <v>383</v>
      </c>
      <c r="P36" s="58" t="s">
        <v>383</v>
      </c>
      <c r="Q36" s="198" t="s">
        <v>383</v>
      </c>
      <c r="R36" s="65">
        <v>0</v>
      </c>
      <c r="S36" s="58">
        <v>0</v>
      </c>
      <c r="T36" s="58">
        <v>0</v>
      </c>
      <c r="U36" s="203">
        <v>0</v>
      </c>
      <c r="V36" s="65">
        <v>0</v>
      </c>
      <c r="W36" s="65" t="s">
        <v>383</v>
      </c>
      <c r="X36" s="58" t="s">
        <v>383</v>
      </c>
      <c r="Y36" s="58" t="s">
        <v>383</v>
      </c>
      <c r="Z36" s="58" t="s">
        <v>383</v>
      </c>
      <c r="AA36" s="204">
        <f t="shared" si="1"/>
        <v>0</v>
      </c>
      <c r="AB36" s="69">
        <v>0</v>
      </c>
      <c r="AC36" s="69" t="s">
        <v>383</v>
      </c>
      <c r="AD36" s="65" t="s">
        <v>383</v>
      </c>
      <c r="AE36" s="198" t="s">
        <v>383</v>
      </c>
      <c r="AF36" s="58">
        <v>0</v>
      </c>
      <c r="AG36" s="204" t="s">
        <v>383</v>
      </c>
      <c r="AH36" s="69" t="s">
        <v>383</v>
      </c>
      <c r="AI36" s="69">
        <v>0</v>
      </c>
      <c r="AJ36" s="69" t="s">
        <v>383</v>
      </c>
    </row>
    <row r="37" spans="1:36" s="123" customFormat="1" ht="30" customHeight="1" x14ac:dyDescent="0.3">
      <c r="A37" s="60" t="str">
        <f t="shared" si="0"/>
        <v>Unitil</v>
      </c>
      <c r="B37" s="66" t="s">
        <v>383</v>
      </c>
      <c r="C37" s="66" t="s">
        <v>383</v>
      </c>
      <c r="D37" s="58" t="s">
        <v>414</v>
      </c>
      <c r="E37" s="58" t="s">
        <v>385</v>
      </c>
      <c r="F37" s="58" t="s">
        <v>416</v>
      </c>
      <c r="G37" s="58" t="s">
        <v>385</v>
      </c>
      <c r="H37" s="10" t="s">
        <v>387</v>
      </c>
      <c r="I37" s="58">
        <v>0</v>
      </c>
      <c r="J37" s="58">
        <v>0</v>
      </c>
      <c r="K37" s="66" t="s">
        <v>383</v>
      </c>
      <c r="L37" s="58" t="s">
        <v>383</v>
      </c>
      <c r="M37" s="58" t="s">
        <v>383</v>
      </c>
      <c r="N37" s="65" t="s">
        <v>383</v>
      </c>
      <c r="O37" s="58" t="s">
        <v>383</v>
      </c>
      <c r="P37" s="58" t="s">
        <v>383</v>
      </c>
      <c r="Q37" s="198" t="s">
        <v>383</v>
      </c>
      <c r="R37" s="65">
        <v>0</v>
      </c>
      <c r="S37" s="58">
        <v>0</v>
      </c>
      <c r="T37" s="58">
        <v>0</v>
      </c>
      <c r="U37" s="203">
        <v>0</v>
      </c>
      <c r="V37" s="65">
        <v>0</v>
      </c>
      <c r="W37" s="65" t="s">
        <v>383</v>
      </c>
      <c r="X37" s="58" t="s">
        <v>383</v>
      </c>
      <c r="Y37" s="58" t="s">
        <v>383</v>
      </c>
      <c r="Z37" s="58" t="s">
        <v>383</v>
      </c>
      <c r="AA37" s="204">
        <f t="shared" si="1"/>
        <v>0</v>
      </c>
      <c r="AB37" s="69">
        <v>0</v>
      </c>
      <c r="AC37" s="69" t="s">
        <v>383</v>
      </c>
      <c r="AD37" s="65" t="s">
        <v>383</v>
      </c>
      <c r="AE37" s="198" t="s">
        <v>383</v>
      </c>
      <c r="AF37" s="58">
        <v>0</v>
      </c>
      <c r="AG37" s="204" t="s">
        <v>383</v>
      </c>
      <c r="AH37" s="69" t="s">
        <v>383</v>
      </c>
      <c r="AI37" s="69">
        <v>0</v>
      </c>
      <c r="AJ37" s="69" t="s">
        <v>383</v>
      </c>
    </row>
    <row r="38" spans="1:36" s="123" customFormat="1" ht="30" customHeight="1" x14ac:dyDescent="0.3">
      <c r="A38" s="60" t="str">
        <f t="shared" si="0"/>
        <v>Unitil</v>
      </c>
      <c r="B38" s="66" t="s">
        <v>383</v>
      </c>
      <c r="C38" s="66" t="s">
        <v>383</v>
      </c>
      <c r="D38" s="58" t="s">
        <v>414</v>
      </c>
      <c r="E38" s="58" t="s">
        <v>385</v>
      </c>
      <c r="F38" s="58" t="s">
        <v>417</v>
      </c>
      <c r="G38" s="58" t="s">
        <v>385</v>
      </c>
      <c r="H38" s="10" t="s">
        <v>387</v>
      </c>
      <c r="I38" s="58">
        <v>0</v>
      </c>
      <c r="J38" s="58">
        <v>0</v>
      </c>
      <c r="K38" s="66" t="s">
        <v>383</v>
      </c>
      <c r="L38" s="58" t="s">
        <v>383</v>
      </c>
      <c r="M38" s="58" t="s">
        <v>383</v>
      </c>
      <c r="N38" s="65" t="s">
        <v>383</v>
      </c>
      <c r="O38" s="58" t="s">
        <v>383</v>
      </c>
      <c r="P38" s="58" t="s">
        <v>383</v>
      </c>
      <c r="Q38" s="198" t="s">
        <v>383</v>
      </c>
      <c r="R38" s="65">
        <v>0</v>
      </c>
      <c r="S38" s="58">
        <v>0</v>
      </c>
      <c r="T38" s="58">
        <v>0</v>
      </c>
      <c r="U38" s="203">
        <v>0</v>
      </c>
      <c r="V38" s="65">
        <v>0</v>
      </c>
      <c r="W38" s="65" t="s">
        <v>383</v>
      </c>
      <c r="X38" s="58" t="s">
        <v>383</v>
      </c>
      <c r="Y38" s="58" t="s">
        <v>383</v>
      </c>
      <c r="Z38" s="58" t="s">
        <v>383</v>
      </c>
      <c r="AA38" s="204">
        <f t="shared" si="1"/>
        <v>0</v>
      </c>
      <c r="AB38" s="69">
        <v>0</v>
      </c>
      <c r="AC38" s="69" t="s">
        <v>383</v>
      </c>
      <c r="AD38" s="65" t="s">
        <v>383</v>
      </c>
      <c r="AE38" s="198" t="s">
        <v>383</v>
      </c>
      <c r="AF38" s="58">
        <v>0</v>
      </c>
      <c r="AG38" s="204" t="s">
        <v>383</v>
      </c>
      <c r="AH38" s="69" t="s">
        <v>383</v>
      </c>
      <c r="AI38" s="69">
        <v>0</v>
      </c>
      <c r="AJ38" s="69" t="s">
        <v>383</v>
      </c>
    </row>
    <row r="39" spans="1:36" s="123" customFormat="1" ht="30" customHeight="1" x14ac:dyDescent="0.3">
      <c r="A39" s="60" t="str">
        <f t="shared" si="0"/>
        <v>Unitil</v>
      </c>
      <c r="B39" s="66" t="s">
        <v>383</v>
      </c>
      <c r="C39" s="66" t="s">
        <v>383</v>
      </c>
      <c r="D39" s="58" t="s">
        <v>414</v>
      </c>
      <c r="E39" s="58" t="s">
        <v>385</v>
      </c>
      <c r="F39" s="496"/>
      <c r="G39" s="496"/>
      <c r="H39" s="497"/>
      <c r="I39" s="58">
        <v>0</v>
      </c>
      <c r="J39" s="58">
        <v>0</v>
      </c>
      <c r="K39" s="66" t="s">
        <v>383</v>
      </c>
      <c r="L39" s="58" t="s">
        <v>383</v>
      </c>
      <c r="M39" s="58" t="s">
        <v>383</v>
      </c>
      <c r="N39" s="65" t="s">
        <v>383</v>
      </c>
      <c r="O39" s="58" t="s">
        <v>383</v>
      </c>
      <c r="P39" s="58" t="s">
        <v>383</v>
      </c>
      <c r="Q39" s="198" t="s">
        <v>383</v>
      </c>
      <c r="R39" s="65">
        <v>0</v>
      </c>
      <c r="S39" s="58">
        <v>0</v>
      </c>
      <c r="T39" s="58">
        <v>0</v>
      </c>
      <c r="U39" s="203">
        <v>0</v>
      </c>
      <c r="V39" s="65">
        <v>0</v>
      </c>
      <c r="W39" s="65" t="s">
        <v>383</v>
      </c>
      <c r="X39" s="58" t="s">
        <v>383</v>
      </c>
      <c r="Y39" s="58" t="s">
        <v>383</v>
      </c>
      <c r="Z39" s="58" t="s">
        <v>383</v>
      </c>
      <c r="AA39" s="204">
        <f t="shared" si="1"/>
        <v>0</v>
      </c>
      <c r="AB39" s="69">
        <v>0</v>
      </c>
      <c r="AC39" s="69" t="s">
        <v>383</v>
      </c>
      <c r="AD39" s="65" t="s">
        <v>383</v>
      </c>
      <c r="AE39" s="198" t="s">
        <v>383</v>
      </c>
      <c r="AF39" s="58">
        <v>0</v>
      </c>
      <c r="AG39" s="204" t="s">
        <v>383</v>
      </c>
      <c r="AH39" s="69" t="s">
        <v>383</v>
      </c>
      <c r="AI39" s="69">
        <v>0</v>
      </c>
      <c r="AJ39" s="69" t="s">
        <v>383</v>
      </c>
    </row>
    <row r="40" spans="1:36" s="123" customFormat="1" ht="30" customHeight="1" x14ac:dyDescent="0.3">
      <c r="A40" s="60" t="str">
        <f t="shared" si="0"/>
        <v>Unitil</v>
      </c>
      <c r="B40" s="66" t="s">
        <v>383</v>
      </c>
      <c r="C40" s="66" t="s">
        <v>383</v>
      </c>
      <c r="D40" s="58" t="s">
        <v>418</v>
      </c>
      <c r="E40" s="58" t="s">
        <v>418</v>
      </c>
      <c r="F40" s="58" t="s">
        <v>419</v>
      </c>
      <c r="G40" s="58" t="s">
        <v>418</v>
      </c>
      <c r="H40" s="10" t="s">
        <v>387</v>
      </c>
      <c r="I40" s="58">
        <v>0</v>
      </c>
      <c r="J40" s="58">
        <v>0</v>
      </c>
      <c r="K40" s="66" t="s">
        <v>383</v>
      </c>
      <c r="L40" s="58" t="s">
        <v>383</v>
      </c>
      <c r="M40" s="58" t="s">
        <v>383</v>
      </c>
      <c r="N40" s="65" t="s">
        <v>383</v>
      </c>
      <c r="O40" s="58" t="s">
        <v>383</v>
      </c>
      <c r="P40" s="58" t="s">
        <v>383</v>
      </c>
      <c r="Q40" s="198" t="s">
        <v>383</v>
      </c>
      <c r="R40" s="65">
        <v>0</v>
      </c>
      <c r="S40" s="58">
        <v>0</v>
      </c>
      <c r="T40" s="58">
        <v>0</v>
      </c>
      <c r="U40" s="203">
        <v>0</v>
      </c>
      <c r="V40" s="65">
        <v>0</v>
      </c>
      <c r="W40" s="65" t="s">
        <v>383</v>
      </c>
      <c r="X40" s="58" t="s">
        <v>383</v>
      </c>
      <c r="Y40" s="58" t="s">
        <v>383</v>
      </c>
      <c r="Z40" s="58" t="s">
        <v>383</v>
      </c>
      <c r="AA40" s="204">
        <f t="shared" si="1"/>
        <v>0</v>
      </c>
      <c r="AB40" s="69">
        <v>0</v>
      </c>
      <c r="AC40" s="69" t="s">
        <v>383</v>
      </c>
      <c r="AD40" s="65" t="s">
        <v>383</v>
      </c>
      <c r="AE40" s="198" t="s">
        <v>383</v>
      </c>
      <c r="AF40" s="58">
        <v>0</v>
      </c>
      <c r="AG40" s="204" t="s">
        <v>383</v>
      </c>
      <c r="AH40" s="69" t="s">
        <v>383</v>
      </c>
      <c r="AI40" s="69">
        <v>0</v>
      </c>
      <c r="AJ40" s="69" t="s">
        <v>383</v>
      </c>
    </row>
    <row r="41" spans="1:36" s="123" customFormat="1" ht="30" customHeight="1" x14ac:dyDescent="0.3">
      <c r="A41" s="60" t="str">
        <f t="shared" si="0"/>
        <v>Unitil</v>
      </c>
      <c r="B41" s="66" t="s">
        <v>383</v>
      </c>
      <c r="C41" s="66" t="s">
        <v>383</v>
      </c>
      <c r="D41" s="58" t="s">
        <v>418</v>
      </c>
      <c r="E41" s="58" t="s">
        <v>418</v>
      </c>
      <c r="F41" s="58" t="s">
        <v>420</v>
      </c>
      <c r="G41" s="58" t="s">
        <v>421</v>
      </c>
      <c r="H41" s="10" t="s">
        <v>387</v>
      </c>
      <c r="I41" s="58">
        <v>0</v>
      </c>
      <c r="J41" s="58">
        <v>0</v>
      </c>
      <c r="K41" s="66" t="s">
        <v>383</v>
      </c>
      <c r="L41" s="58" t="s">
        <v>383</v>
      </c>
      <c r="M41" s="58" t="s">
        <v>383</v>
      </c>
      <c r="N41" s="65" t="s">
        <v>383</v>
      </c>
      <c r="O41" s="58" t="s">
        <v>383</v>
      </c>
      <c r="P41" s="58" t="s">
        <v>383</v>
      </c>
      <c r="Q41" s="198" t="s">
        <v>383</v>
      </c>
      <c r="R41" s="65">
        <v>0</v>
      </c>
      <c r="S41" s="58">
        <v>0</v>
      </c>
      <c r="T41" s="58">
        <v>0</v>
      </c>
      <c r="U41" s="203">
        <v>0</v>
      </c>
      <c r="V41" s="65">
        <v>0</v>
      </c>
      <c r="W41" s="65" t="s">
        <v>383</v>
      </c>
      <c r="X41" s="58" t="s">
        <v>383</v>
      </c>
      <c r="Y41" s="58" t="s">
        <v>383</v>
      </c>
      <c r="Z41" s="58" t="s">
        <v>383</v>
      </c>
      <c r="AA41" s="204">
        <f t="shared" si="1"/>
        <v>0</v>
      </c>
      <c r="AB41" s="69">
        <v>0</v>
      </c>
      <c r="AC41" s="69" t="s">
        <v>383</v>
      </c>
      <c r="AD41" s="65" t="s">
        <v>383</v>
      </c>
      <c r="AE41" s="198" t="s">
        <v>383</v>
      </c>
      <c r="AF41" s="58">
        <v>0</v>
      </c>
      <c r="AG41" s="204" t="s">
        <v>383</v>
      </c>
      <c r="AH41" s="69" t="s">
        <v>383</v>
      </c>
      <c r="AI41" s="69">
        <v>0</v>
      </c>
      <c r="AJ41" s="69" t="s">
        <v>383</v>
      </c>
    </row>
    <row r="42" spans="1:36" s="123" customFormat="1" ht="30" customHeight="1" x14ac:dyDescent="0.3">
      <c r="A42" s="60" t="str">
        <f t="shared" si="0"/>
        <v>Unitil</v>
      </c>
      <c r="B42" s="66" t="s">
        <v>383</v>
      </c>
      <c r="C42" s="66" t="s">
        <v>383</v>
      </c>
      <c r="D42" s="58" t="s">
        <v>418</v>
      </c>
      <c r="E42" s="58" t="s">
        <v>418</v>
      </c>
      <c r="F42" s="496"/>
      <c r="G42" s="496"/>
      <c r="H42" s="497"/>
      <c r="I42" s="58">
        <v>0</v>
      </c>
      <c r="J42" s="58">
        <v>0</v>
      </c>
      <c r="K42" s="66" t="s">
        <v>383</v>
      </c>
      <c r="L42" s="58" t="s">
        <v>383</v>
      </c>
      <c r="M42" s="58" t="s">
        <v>383</v>
      </c>
      <c r="N42" s="65" t="s">
        <v>383</v>
      </c>
      <c r="O42" s="58" t="s">
        <v>383</v>
      </c>
      <c r="P42" s="58" t="s">
        <v>383</v>
      </c>
      <c r="Q42" s="198" t="s">
        <v>383</v>
      </c>
      <c r="R42" s="65">
        <v>0</v>
      </c>
      <c r="S42" s="58">
        <v>0</v>
      </c>
      <c r="T42" s="58">
        <v>0</v>
      </c>
      <c r="U42" s="203">
        <v>0</v>
      </c>
      <c r="V42" s="65">
        <v>0</v>
      </c>
      <c r="W42" s="65" t="s">
        <v>383</v>
      </c>
      <c r="X42" s="58" t="s">
        <v>383</v>
      </c>
      <c r="Y42" s="58" t="s">
        <v>383</v>
      </c>
      <c r="Z42" s="58" t="s">
        <v>383</v>
      </c>
      <c r="AA42" s="204">
        <f t="shared" si="1"/>
        <v>0</v>
      </c>
      <c r="AB42" s="69">
        <v>0</v>
      </c>
      <c r="AC42" s="69" t="s">
        <v>383</v>
      </c>
      <c r="AD42" s="65" t="s">
        <v>383</v>
      </c>
      <c r="AE42" s="198" t="s">
        <v>383</v>
      </c>
      <c r="AF42" s="58">
        <v>0</v>
      </c>
      <c r="AG42" s="204" t="s">
        <v>383</v>
      </c>
      <c r="AH42" s="69" t="s">
        <v>383</v>
      </c>
      <c r="AI42" s="69">
        <v>0</v>
      </c>
      <c r="AJ42" s="69" t="s">
        <v>383</v>
      </c>
    </row>
    <row r="43" spans="1:36" s="123" customFormat="1" ht="30" customHeight="1" x14ac:dyDescent="0.3">
      <c r="A43" s="60" t="str">
        <f t="shared" si="0"/>
        <v>Unitil</v>
      </c>
      <c r="B43" s="66" t="s">
        <v>383</v>
      </c>
      <c r="C43" s="66" t="s">
        <v>383</v>
      </c>
      <c r="D43" s="58" t="s">
        <v>422</v>
      </c>
      <c r="E43" s="58" t="s">
        <v>418</v>
      </c>
      <c r="F43" s="58" t="s">
        <v>423</v>
      </c>
      <c r="G43" s="58" t="s">
        <v>424</v>
      </c>
      <c r="H43" s="10" t="s">
        <v>387</v>
      </c>
      <c r="I43" s="58">
        <v>0</v>
      </c>
      <c r="J43" s="58">
        <v>0</v>
      </c>
      <c r="K43" s="66" t="s">
        <v>383</v>
      </c>
      <c r="L43" s="58" t="s">
        <v>383</v>
      </c>
      <c r="M43" s="58" t="s">
        <v>383</v>
      </c>
      <c r="N43" s="65" t="s">
        <v>383</v>
      </c>
      <c r="O43" s="58" t="s">
        <v>383</v>
      </c>
      <c r="P43" s="58" t="s">
        <v>383</v>
      </c>
      <c r="Q43" s="198" t="s">
        <v>383</v>
      </c>
      <c r="R43" s="65">
        <v>0</v>
      </c>
      <c r="S43" s="58">
        <v>0</v>
      </c>
      <c r="T43" s="58">
        <v>0</v>
      </c>
      <c r="U43" s="203">
        <v>0</v>
      </c>
      <c r="V43" s="65">
        <v>0</v>
      </c>
      <c r="W43" s="65" t="s">
        <v>383</v>
      </c>
      <c r="X43" s="58" t="s">
        <v>383</v>
      </c>
      <c r="Y43" s="58" t="s">
        <v>383</v>
      </c>
      <c r="Z43" s="58" t="s">
        <v>383</v>
      </c>
      <c r="AA43" s="204">
        <f t="shared" si="1"/>
        <v>0</v>
      </c>
      <c r="AB43" s="69">
        <v>0</v>
      </c>
      <c r="AC43" s="69" t="s">
        <v>383</v>
      </c>
      <c r="AD43" s="65" t="s">
        <v>383</v>
      </c>
      <c r="AE43" s="198" t="s">
        <v>383</v>
      </c>
      <c r="AF43" s="58">
        <v>0</v>
      </c>
      <c r="AG43" s="204" t="s">
        <v>383</v>
      </c>
      <c r="AH43" s="69" t="s">
        <v>383</v>
      </c>
      <c r="AI43" s="69">
        <v>0</v>
      </c>
      <c r="AJ43" s="69" t="s">
        <v>383</v>
      </c>
    </row>
    <row r="44" spans="1:36" s="123" customFormat="1" ht="30" customHeight="1" x14ac:dyDescent="0.3">
      <c r="A44" s="60" t="str">
        <f t="shared" si="0"/>
        <v>Unitil</v>
      </c>
      <c r="B44" s="66" t="s">
        <v>383</v>
      </c>
      <c r="C44" s="66" t="s">
        <v>383</v>
      </c>
      <c r="D44" s="58" t="s">
        <v>422</v>
      </c>
      <c r="E44" s="58" t="s">
        <v>418</v>
      </c>
      <c r="F44" s="58" t="s">
        <v>425</v>
      </c>
      <c r="G44" s="58" t="s">
        <v>424</v>
      </c>
      <c r="H44" s="10" t="s">
        <v>387</v>
      </c>
      <c r="I44" s="58">
        <v>0</v>
      </c>
      <c r="J44" s="58">
        <v>0</v>
      </c>
      <c r="K44" s="66" t="s">
        <v>383</v>
      </c>
      <c r="L44" s="58" t="s">
        <v>383</v>
      </c>
      <c r="M44" s="58" t="s">
        <v>383</v>
      </c>
      <c r="N44" s="65" t="s">
        <v>383</v>
      </c>
      <c r="O44" s="58" t="s">
        <v>383</v>
      </c>
      <c r="P44" s="58" t="s">
        <v>383</v>
      </c>
      <c r="Q44" s="198" t="s">
        <v>383</v>
      </c>
      <c r="R44" s="65">
        <v>0</v>
      </c>
      <c r="S44" s="58">
        <v>0</v>
      </c>
      <c r="T44" s="58">
        <v>0</v>
      </c>
      <c r="U44" s="203">
        <v>0</v>
      </c>
      <c r="V44" s="65">
        <v>0</v>
      </c>
      <c r="W44" s="65" t="s">
        <v>383</v>
      </c>
      <c r="X44" s="58" t="s">
        <v>383</v>
      </c>
      <c r="Y44" s="58" t="s">
        <v>383</v>
      </c>
      <c r="Z44" s="58" t="s">
        <v>383</v>
      </c>
      <c r="AA44" s="204">
        <f t="shared" si="1"/>
        <v>0</v>
      </c>
      <c r="AB44" s="69">
        <v>0</v>
      </c>
      <c r="AC44" s="69" t="s">
        <v>383</v>
      </c>
      <c r="AD44" s="65" t="s">
        <v>383</v>
      </c>
      <c r="AE44" s="198" t="s">
        <v>383</v>
      </c>
      <c r="AF44" s="58">
        <v>0</v>
      </c>
      <c r="AG44" s="204" t="s">
        <v>383</v>
      </c>
      <c r="AH44" s="69" t="s">
        <v>383</v>
      </c>
      <c r="AI44" s="69">
        <v>0</v>
      </c>
      <c r="AJ44" s="69" t="s">
        <v>383</v>
      </c>
    </row>
    <row r="45" spans="1:36" s="123" customFormat="1" ht="30" customHeight="1" x14ac:dyDescent="0.3">
      <c r="A45" s="60" t="str">
        <f t="shared" si="0"/>
        <v>Unitil</v>
      </c>
      <c r="B45" s="66" t="s">
        <v>383</v>
      </c>
      <c r="C45" s="66" t="s">
        <v>383</v>
      </c>
      <c r="D45" s="58" t="s">
        <v>422</v>
      </c>
      <c r="E45" s="58" t="s">
        <v>418</v>
      </c>
      <c r="F45" s="58" t="s">
        <v>426</v>
      </c>
      <c r="G45" s="58" t="s">
        <v>418</v>
      </c>
      <c r="H45" s="10" t="s">
        <v>387</v>
      </c>
      <c r="I45" s="58">
        <v>0</v>
      </c>
      <c r="J45" s="58">
        <v>0</v>
      </c>
      <c r="K45" s="66" t="s">
        <v>383</v>
      </c>
      <c r="L45" s="58" t="s">
        <v>383</v>
      </c>
      <c r="M45" s="58" t="s">
        <v>383</v>
      </c>
      <c r="N45" s="65" t="s">
        <v>383</v>
      </c>
      <c r="O45" s="58" t="s">
        <v>383</v>
      </c>
      <c r="P45" s="58" t="s">
        <v>383</v>
      </c>
      <c r="Q45" s="198" t="s">
        <v>383</v>
      </c>
      <c r="R45" s="65">
        <v>0</v>
      </c>
      <c r="S45" s="58">
        <v>0</v>
      </c>
      <c r="T45" s="58">
        <v>0</v>
      </c>
      <c r="U45" s="203">
        <v>0</v>
      </c>
      <c r="V45" s="65">
        <v>0</v>
      </c>
      <c r="W45" s="65" t="s">
        <v>383</v>
      </c>
      <c r="X45" s="58" t="s">
        <v>383</v>
      </c>
      <c r="Y45" s="58" t="s">
        <v>383</v>
      </c>
      <c r="Z45" s="58" t="s">
        <v>383</v>
      </c>
      <c r="AA45" s="204">
        <f t="shared" si="1"/>
        <v>0</v>
      </c>
      <c r="AB45" s="69">
        <v>0</v>
      </c>
      <c r="AC45" s="69" t="s">
        <v>383</v>
      </c>
      <c r="AD45" s="65" t="s">
        <v>383</v>
      </c>
      <c r="AE45" s="198" t="s">
        <v>383</v>
      </c>
      <c r="AF45" s="58">
        <v>0</v>
      </c>
      <c r="AG45" s="204" t="s">
        <v>383</v>
      </c>
      <c r="AH45" s="69" t="s">
        <v>383</v>
      </c>
      <c r="AI45" s="69">
        <v>0</v>
      </c>
      <c r="AJ45" s="69" t="s">
        <v>383</v>
      </c>
    </row>
    <row r="46" spans="1:36" s="123" customFormat="1" ht="30" customHeight="1" x14ac:dyDescent="0.3">
      <c r="A46" s="60" t="str">
        <f t="shared" si="0"/>
        <v>Unitil</v>
      </c>
      <c r="B46" s="66" t="s">
        <v>383</v>
      </c>
      <c r="C46" s="66" t="s">
        <v>383</v>
      </c>
      <c r="D46" s="58" t="s">
        <v>422</v>
      </c>
      <c r="E46" s="58" t="s">
        <v>418</v>
      </c>
      <c r="F46" s="496"/>
      <c r="G46" s="496"/>
      <c r="H46" s="497"/>
      <c r="I46" s="58">
        <v>0</v>
      </c>
      <c r="J46" s="58">
        <v>0</v>
      </c>
      <c r="K46" s="66" t="s">
        <v>383</v>
      </c>
      <c r="L46" s="58" t="s">
        <v>383</v>
      </c>
      <c r="M46" s="58" t="s">
        <v>383</v>
      </c>
      <c r="N46" s="65" t="s">
        <v>383</v>
      </c>
      <c r="O46" s="58" t="s">
        <v>383</v>
      </c>
      <c r="P46" s="58" t="s">
        <v>383</v>
      </c>
      <c r="Q46" s="198" t="s">
        <v>383</v>
      </c>
      <c r="R46" s="65">
        <v>0</v>
      </c>
      <c r="S46" s="58">
        <v>0</v>
      </c>
      <c r="T46" s="58">
        <v>0</v>
      </c>
      <c r="U46" s="203">
        <v>0</v>
      </c>
      <c r="V46" s="65">
        <v>0</v>
      </c>
      <c r="W46" s="65" t="s">
        <v>383</v>
      </c>
      <c r="X46" s="58" t="s">
        <v>383</v>
      </c>
      <c r="Y46" s="58" t="s">
        <v>383</v>
      </c>
      <c r="Z46" s="58" t="s">
        <v>383</v>
      </c>
      <c r="AA46" s="204">
        <f t="shared" si="1"/>
        <v>0</v>
      </c>
      <c r="AB46" s="69">
        <v>0</v>
      </c>
      <c r="AC46" s="69" t="s">
        <v>383</v>
      </c>
      <c r="AD46" s="65" t="s">
        <v>383</v>
      </c>
      <c r="AE46" s="198" t="s">
        <v>383</v>
      </c>
      <c r="AF46" s="58">
        <v>0</v>
      </c>
      <c r="AG46" s="204" t="s">
        <v>383</v>
      </c>
      <c r="AH46" s="69" t="s">
        <v>383</v>
      </c>
      <c r="AI46" s="69">
        <v>0</v>
      </c>
      <c r="AJ46" s="69" t="s">
        <v>383</v>
      </c>
    </row>
    <row r="47" spans="1:36" s="123" customFormat="1" ht="30" customHeight="1" x14ac:dyDescent="0.3">
      <c r="A47" s="60" t="str">
        <f t="shared" si="0"/>
        <v>Unitil</v>
      </c>
      <c r="B47" s="66" t="s">
        <v>383</v>
      </c>
      <c r="C47" s="66" t="s">
        <v>383</v>
      </c>
      <c r="D47" s="58" t="s">
        <v>427</v>
      </c>
      <c r="E47" s="58" t="s">
        <v>385</v>
      </c>
      <c r="F47" s="58" t="s">
        <v>428</v>
      </c>
      <c r="G47" s="58" t="s">
        <v>429</v>
      </c>
      <c r="H47" s="10" t="s">
        <v>387</v>
      </c>
      <c r="I47" s="58">
        <v>0</v>
      </c>
      <c r="J47" s="58">
        <v>0</v>
      </c>
      <c r="K47" s="66" t="s">
        <v>383</v>
      </c>
      <c r="L47" s="58" t="s">
        <v>383</v>
      </c>
      <c r="M47" s="58" t="s">
        <v>383</v>
      </c>
      <c r="N47" s="65" t="s">
        <v>383</v>
      </c>
      <c r="O47" s="58" t="s">
        <v>383</v>
      </c>
      <c r="P47" s="58" t="s">
        <v>383</v>
      </c>
      <c r="Q47" s="198" t="s">
        <v>383</v>
      </c>
      <c r="R47" s="65">
        <v>0</v>
      </c>
      <c r="S47" s="58">
        <v>0</v>
      </c>
      <c r="T47" s="58">
        <v>0</v>
      </c>
      <c r="U47" s="203">
        <v>0</v>
      </c>
      <c r="V47" s="65">
        <v>0</v>
      </c>
      <c r="W47" s="65" t="s">
        <v>383</v>
      </c>
      <c r="X47" s="58" t="s">
        <v>383</v>
      </c>
      <c r="Y47" s="58" t="s">
        <v>383</v>
      </c>
      <c r="Z47" s="58" t="s">
        <v>383</v>
      </c>
      <c r="AA47" s="204">
        <f t="shared" si="1"/>
        <v>0</v>
      </c>
      <c r="AB47" s="69">
        <v>0</v>
      </c>
      <c r="AC47" s="69" t="s">
        <v>383</v>
      </c>
      <c r="AD47" s="65" t="s">
        <v>383</v>
      </c>
      <c r="AE47" s="198" t="s">
        <v>383</v>
      </c>
      <c r="AF47" s="58">
        <v>0</v>
      </c>
      <c r="AG47" s="204" t="s">
        <v>383</v>
      </c>
      <c r="AH47" s="69" t="s">
        <v>383</v>
      </c>
      <c r="AI47" s="69">
        <v>0</v>
      </c>
      <c r="AJ47" s="69" t="s">
        <v>383</v>
      </c>
    </row>
    <row r="48" spans="1:36" s="123" customFormat="1" ht="30" customHeight="1" x14ac:dyDescent="0.3">
      <c r="A48" s="60" t="str">
        <f t="shared" si="0"/>
        <v>Unitil</v>
      </c>
      <c r="B48" s="66" t="s">
        <v>383</v>
      </c>
      <c r="C48" s="66" t="s">
        <v>383</v>
      </c>
      <c r="D48" s="58" t="s">
        <v>427</v>
      </c>
      <c r="E48" s="58" t="s">
        <v>385</v>
      </c>
      <c r="F48" s="496"/>
      <c r="G48" s="496"/>
      <c r="H48" s="497"/>
      <c r="I48" s="58">
        <v>0</v>
      </c>
      <c r="J48" s="58">
        <v>0</v>
      </c>
      <c r="K48" s="66" t="s">
        <v>383</v>
      </c>
      <c r="L48" s="58" t="s">
        <v>383</v>
      </c>
      <c r="M48" s="58" t="s">
        <v>383</v>
      </c>
      <c r="N48" s="65" t="s">
        <v>383</v>
      </c>
      <c r="O48" s="58" t="s">
        <v>383</v>
      </c>
      <c r="P48" s="58" t="s">
        <v>383</v>
      </c>
      <c r="Q48" s="198" t="s">
        <v>383</v>
      </c>
      <c r="R48" s="65">
        <v>0</v>
      </c>
      <c r="S48" s="58">
        <v>0</v>
      </c>
      <c r="T48" s="58">
        <v>0</v>
      </c>
      <c r="U48" s="203">
        <v>0</v>
      </c>
      <c r="V48" s="65">
        <v>0</v>
      </c>
      <c r="W48" s="65" t="s">
        <v>383</v>
      </c>
      <c r="X48" s="58" t="s">
        <v>383</v>
      </c>
      <c r="Y48" s="58" t="s">
        <v>383</v>
      </c>
      <c r="Z48" s="58" t="s">
        <v>383</v>
      </c>
      <c r="AA48" s="204">
        <f t="shared" si="1"/>
        <v>0</v>
      </c>
      <c r="AB48" s="69">
        <v>0</v>
      </c>
      <c r="AC48" s="69" t="s">
        <v>383</v>
      </c>
      <c r="AD48" s="65" t="s">
        <v>383</v>
      </c>
      <c r="AE48" s="198" t="s">
        <v>383</v>
      </c>
      <c r="AF48" s="58">
        <v>0</v>
      </c>
      <c r="AG48" s="204" t="s">
        <v>383</v>
      </c>
      <c r="AH48" s="69" t="s">
        <v>383</v>
      </c>
      <c r="AI48" s="69">
        <v>0</v>
      </c>
      <c r="AJ48" s="69" t="s">
        <v>383</v>
      </c>
    </row>
    <row r="49" spans="1:36" s="123" customFormat="1" ht="30" customHeight="1" x14ac:dyDescent="0.3">
      <c r="A49" s="60" t="str">
        <f t="shared" si="0"/>
        <v>Unitil</v>
      </c>
      <c r="B49" s="66" t="s">
        <v>383</v>
      </c>
      <c r="C49" s="66" t="s">
        <v>383</v>
      </c>
      <c r="D49" s="58" t="s">
        <v>430</v>
      </c>
      <c r="E49" s="58" t="s">
        <v>395</v>
      </c>
      <c r="F49" s="58" t="s">
        <v>431</v>
      </c>
      <c r="G49" s="58" t="s">
        <v>399</v>
      </c>
      <c r="H49" s="10" t="s">
        <v>387</v>
      </c>
      <c r="I49" s="58">
        <v>0</v>
      </c>
      <c r="J49" s="58">
        <v>0</v>
      </c>
      <c r="K49" s="66" t="s">
        <v>383</v>
      </c>
      <c r="L49" s="58" t="s">
        <v>383</v>
      </c>
      <c r="M49" s="58" t="s">
        <v>383</v>
      </c>
      <c r="N49" s="65" t="s">
        <v>383</v>
      </c>
      <c r="O49" s="58" t="s">
        <v>383</v>
      </c>
      <c r="P49" s="58" t="s">
        <v>383</v>
      </c>
      <c r="Q49" s="198" t="s">
        <v>383</v>
      </c>
      <c r="R49" s="65">
        <v>0</v>
      </c>
      <c r="S49" s="58">
        <v>0</v>
      </c>
      <c r="T49" s="58">
        <v>0</v>
      </c>
      <c r="U49" s="203">
        <v>0</v>
      </c>
      <c r="V49" s="65">
        <v>0</v>
      </c>
      <c r="W49" s="65" t="s">
        <v>383</v>
      </c>
      <c r="X49" s="58" t="s">
        <v>383</v>
      </c>
      <c r="Y49" s="58" t="s">
        <v>383</v>
      </c>
      <c r="Z49" s="58" t="s">
        <v>383</v>
      </c>
      <c r="AA49" s="204">
        <f t="shared" si="1"/>
        <v>0</v>
      </c>
      <c r="AB49" s="69">
        <v>0</v>
      </c>
      <c r="AC49" s="69" t="s">
        <v>383</v>
      </c>
      <c r="AD49" s="65" t="s">
        <v>383</v>
      </c>
      <c r="AE49" s="198" t="s">
        <v>383</v>
      </c>
      <c r="AF49" s="58">
        <v>0</v>
      </c>
      <c r="AG49" s="204" t="s">
        <v>383</v>
      </c>
      <c r="AH49" s="69" t="s">
        <v>383</v>
      </c>
      <c r="AI49" s="69">
        <v>0</v>
      </c>
      <c r="AJ49" s="69" t="s">
        <v>383</v>
      </c>
    </row>
    <row r="50" spans="1:36" s="123" customFormat="1" ht="30" customHeight="1" x14ac:dyDescent="0.3">
      <c r="A50" s="60" t="str">
        <f t="shared" si="0"/>
        <v>Unitil</v>
      </c>
      <c r="B50" s="66" t="s">
        <v>383</v>
      </c>
      <c r="C50" s="66" t="s">
        <v>383</v>
      </c>
      <c r="D50" s="58" t="s">
        <v>430</v>
      </c>
      <c r="E50" s="58" t="s">
        <v>395</v>
      </c>
      <c r="F50" s="58" t="s">
        <v>432</v>
      </c>
      <c r="G50" s="58" t="s">
        <v>433</v>
      </c>
      <c r="H50" s="10" t="s">
        <v>387</v>
      </c>
      <c r="I50" s="58">
        <v>0</v>
      </c>
      <c r="J50" s="58">
        <v>0</v>
      </c>
      <c r="K50" s="66" t="s">
        <v>383</v>
      </c>
      <c r="L50" s="58" t="s">
        <v>383</v>
      </c>
      <c r="M50" s="58" t="s">
        <v>383</v>
      </c>
      <c r="N50" s="65" t="s">
        <v>383</v>
      </c>
      <c r="O50" s="58" t="s">
        <v>383</v>
      </c>
      <c r="P50" s="58" t="s">
        <v>383</v>
      </c>
      <c r="Q50" s="198" t="s">
        <v>383</v>
      </c>
      <c r="R50" s="65">
        <v>0</v>
      </c>
      <c r="S50" s="58">
        <v>0</v>
      </c>
      <c r="T50" s="58">
        <v>0</v>
      </c>
      <c r="U50" s="203">
        <v>0</v>
      </c>
      <c r="V50" s="65">
        <v>0</v>
      </c>
      <c r="W50" s="65" t="s">
        <v>383</v>
      </c>
      <c r="X50" s="58" t="s">
        <v>383</v>
      </c>
      <c r="Y50" s="58" t="s">
        <v>383</v>
      </c>
      <c r="Z50" s="58" t="s">
        <v>383</v>
      </c>
      <c r="AA50" s="204">
        <f t="shared" si="1"/>
        <v>0</v>
      </c>
      <c r="AB50" s="69">
        <v>0</v>
      </c>
      <c r="AC50" s="69" t="s">
        <v>383</v>
      </c>
      <c r="AD50" s="65" t="s">
        <v>383</v>
      </c>
      <c r="AE50" s="198" t="s">
        <v>383</v>
      </c>
      <c r="AF50" s="58">
        <v>0</v>
      </c>
      <c r="AG50" s="204" t="s">
        <v>383</v>
      </c>
      <c r="AH50" s="69" t="s">
        <v>383</v>
      </c>
      <c r="AI50" s="69">
        <v>0</v>
      </c>
      <c r="AJ50" s="69" t="s">
        <v>383</v>
      </c>
    </row>
    <row r="51" spans="1:36" s="123" customFormat="1" ht="30" customHeight="1" x14ac:dyDescent="0.3">
      <c r="A51" s="60" t="str">
        <f t="shared" si="0"/>
        <v>Unitil</v>
      </c>
      <c r="B51" s="66" t="s">
        <v>383</v>
      </c>
      <c r="C51" s="66" t="s">
        <v>383</v>
      </c>
      <c r="D51" s="58" t="s">
        <v>430</v>
      </c>
      <c r="E51" s="58" t="s">
        <v>395</v>
      </c>
      <c r="F51" s="496"/>
      <c r="G51" s="496"/>
      <c r="H51" s="497"/>
      <c r="I51" s="58">
        <v>0</v>
      </c>
      <c r="J51" s="58">
        <v>0</v>
      </c>
      <c r="K51" s="66" t="s">
        <v>383</v>
      </c>
      <c r="L51" s="58" t="s">
        <v>383</v>
      </c>
      <c r="M51" s="58" t="s">
        <v>383</v>
      </c>
      <c r="N51" s="65" t="s">
        <v>383</v>
      </c>
      <c r="O51" s="58" t="s">
        <v>383</v>
      </c>
      <c r="P51" s="58" t="s">
        <v>383</v>
      </c>
      <c r="Q51" s="198" t="s">
        <v>383</v>
      </c>
      <c r="R51" s="65">
        <v>0</v>
      </c>
      <c r="S51" s="58">
        <v>0</v>
      </c>
      <c r="T51" s="58">
        <v>0</v>
      </c>
      <c r="U51" s="203">
        <v>0</v>
      </c>
      <c r="V51" s="65">
        <v>0</v>
      </c>
      <c r="W51" s="65" t="s">
        <v>383</v>
      </c>
      <c r="X51" s="58" t="s">
        <v>383</v>
      </c>
      <c r="Y51" s="58" t="s">
        <v>383</v>
      </c>
      <c r="Z51" s="58" t="s">
        <v>383</v>
      </c>
      <c r="AA51" s="204">
        <f t="shared" si="1"/>
        <v>0</v>
      </c>
      <c r="AB51" s="69">
        <v>0</v>
      </c>
      <c r="AC51" s="69" t="s">
        <v>383</v>
      </c>
      <c r="AD51" s="65" t="s">
        <v>383</v>
      </c>
      <c r="AE51" s="198" t="s">
        <v>383</v>
      </c>
      <c r="AF51" s="58">
        <v>0</v>
      </c>
      <c r="AG51" s="204" t="s">
        <v>383</v>
      </c>
      <c r="AH51" s="69" t="s">
        <v>383</v>
      </c>
      <c r="AI51" s="69">
        <v>0</v>
      </c>
      <c r="AJ51" s="69" t="s">
        <v>383</v>
      </c>
    </row>
    <row r="52" spans="1:36" s="123" customFormat="1" ht="30" customHeight="1" x14ac:dyDescent="0.3">
      <c r="A52" s="60" t="str">
        <f t="shared" si="0"/>
        <v>Unitil</v>
      </c>
      <c r="B52" s="66" t="s">
        <v>383</v>
      </c>
      <c r="C52" s="66" t="s">
        <v>383</v>
      </c>
      <c r="D52" s="58" t="s">
        <v>434</v>
      </c>
      <c r="E52" s="58" t="s">
        <v>385</v>
      </c>
      <c r="F52" s="58" t="s">
        <v>435</v>
      </c>
      <c r="G52" s="58" t="s">
        <v>385</v>
      </c>
      <c r="H52" s="10" t="s">
        <v>387</v>
      </c>
      <c r="I52" s="58">
        <v>0</v>
      </c>
      <c r="J52" s="58">
        <v>0</v>
      </c>
      <c r="K52" s="66" t="s">
        <v>383</v>
      </c>
      <c r="L52" s="58" t="s">
        <v>383</v>
      </c>
      <c r="M52" s="58" t="s">
        <v>383</v>
      </c>
      <c r="N52" s="65" t="s">
        <v>383</v>
      </c>
      <c r="O52" s="58" t="s">
        <v>383</v>
      </c>
      <c r="P52" s="58" t="s">
        <v>383</v>
      </c>
      <c r="Q52" s="198" t="s">
        <v>383</v>
      </c>
      <c r="R52" s="65">
        <v>0</v>
      </c>
      <c r="S52" s="58">
        <v>0</v>
      </c>
      <c r="T52" s="58">
        <v>0</v>
      </c>
      <c r="U52" s="203">
        <v>0</v>
      </c>
      <c r="V52" s="65">
        <v>0</v>
      </c>
      <c r="W52" s="65" t="s">
        <v>383</v>
      </c>
      <c r="X52" s="58" t="s">
        <v>383</v>
      </c>
      <c r="Y52" s="58" t="s">
        <v>383</v>
      </c>
      <c r="Z52" s="58" t="s">
        <v>383</v>
      </c>
      <c r="AA52" s="204">
        <f t="shared" si="1"/>
        <v>0</v>
      </c>
      <c r="AB52" s="69">
        <v>0</v>
      </c>
      <c r="AC52" s="69" t="s">
        <v>383</v>
      </c>
      <c r="AD52" s="65" t="s">
        <v>383</v>
      </c>
      <c r="AE52" s="198" t="s">
        <v>383</v>
      </c>
      <c r="AF52" s="58">
        <v>0</v>
      </c>
      <c r="AG52" s="204" t="s">
        <v>383</v>
      </c>
      <c r="AH52" s="69" t="s">
        <v>383</v>
      </c>
      <c r="AI52" s="69">
        <v>0</v>
      </c>
      <c r="AJ52" s="69" t="s">
        <v>383</v>
      </c>
    </row>
    <row r="53" spans="1:36" s="123" customFormat="1" ht="30" customHeight="1" x14ac:dyDescent="0.3">
      <c r="A53" s="60" t="str">
        <f t="shared" si="0"/>
        <v>Unitil</v>
      </c>
      <c r="B53" s="66" t="s">
        <v>383</v>
      </c>
      <c r="C53" s="66" t="s">
        <v>383</v>
      </c>
      <c r="D53" s="58" t="s">
        <v>434</v>
      </c>
      <c r="E53" s="58" t="s">
        <v>385</v>
      </c>
      <c r="F53" s="58" t="s">
        <v>436</v>
      </c>
      <c r="G53" s="58" t="s">
        <v>385</v>
      </c>
      <c r="H53" s="10" t="s">
        <v>387</v>
      </c>
      <c r="I53" s="58">
        <v>0</v>
      </c>
      <c r="J53" s="58">
        <v>0</v>
      </c>
      <c r="K53" s="66" t="s">
        <v>383</v>
      </c>
      <c r="L53" s="58" t="s">
        <v>383</v>
      </c>
      <c r="M53" s="58" t="s">
        <v>383</v>
      </c>
      <c r="N53" s="65" t="s">
        <v>383</v>
      </c>
      <c r="O53" s="58" t="s">
        <v>383</v>
      </c>
      <c r="P53" s="58" t="s">
        <v>383</v>
      </c>
      <c r="Q53" s="198" t="s">
        <v>383</v>
      </c>
      <c r="R53" s="65">
        <v>0</v>
      </c>
      <c r="S53" s="58">
        <v>1</v>
      </c>
      <c r="T53" s="58">
        <v>0</v>
      </c>
      <c r="U53" s="203">
        <v>12</v>
      </c>
      <c r="V53" s="65">
        <v>0</v>
      </c>
      <c r="W53" s="65" t="s">
        <v>383</v>
      </c>
      <c r="X53" s="58" t="s">
        <v>383</v>
      </c>
      <c r="Y53" s="58" t="s">
        <v>383</v>
      </c>
      <c r="Z53" s="58" t="s">
        <v>383</v>
      </c>
      <c r="AA53" s="204">
        <v>5</v>
      </c>
      <c r="AB53" s="69">
        <v>0</v>
      </c>
      <c r="AC53" s="69" t="s">
        <v>383</v>
      </c>
      <c r="AD53" s="65" t="s">
        <v>383</v>
      </c>
      <c r="AE53" s="198" t="s">
        <v>383</v>
      </c>
      <c r="AF53" s="58">
        <v>0</v>
      </c>
      <c r="AG53" s="204" t="s">
        <v>383</v>
      </c>
      <c r="AH53" s="69" t="s">
        <v>383</v>
      </c>
      <c r="AI53" s="69">
        <v>0</v>
      </c>
      <c r="AJ53" s="69" t="s">
        <v>383</v>
      </c>
    </row>
    <row r="54" spans="1:36" s="123" customFormat="1" ht="30" customHeight="1" x14ac:dyDescent="0.3">
      <c r="A54" s="60" t="str">
        <f t="shared" si="0"/>
        <v>Unitil</v>
      </c>
      <c r="B54" s="66" t="s">
        <v>383</v>
      </c>
      <c r="C54" s="66" t="s">
        <v>383</v>
      </c>
      <c r="D54" s="58" t="s">
        <v>434</v>
      </c>
      <c r="E54" s="58" t="s">
        <v>385</v>
      </c>
      <c r="F54" s="58" t="s">
        <v>437</v>
      </c>
      <c r="G54" s="58" t="s">
        <v>438</v>
      </c>
      <c r="H54" s="10" t="s">
        <v>387</v>
      </c>
      <c r="I54" s="58">
        <v>0</v>
      </c>
      <c r="J54" s="58">
        <v>0</v>
      </c>
      <c r="K54" s="66" t="s">
        <v>383</v>
      </c>
      <c r="L54" s="58" t="s">
        <v>383</v>
      </c>
      <c r="M54" s="58" t="s">
        <v>383</v>
      </c>
      <c r="N54" s="65" t="s">
        <v>383</v>
      </c>
      <c r="O54" s="58" t="s">
        <v>383</v>
      </c>
      <c r="P54" s="58" t="s">
        <v>383</v>
      </c>
      <c r="Q54" s="198" t="s">
        <v>383</v>
      </c>
      <c r="R54" s="65">
        <v>9</v>
      </c>
      <c r="S54" s="58">
        <v>2</v>
      </c>
      <c r="T54" s="58">
        <v>0</v>
      </c>
      <c r="U54" s="203">
        <v>12</v>
      </c>
      <c r="V54" s="65">
        <v>0</v>
      </c>
      <c r="W54" s="65" t="s">
        <v>383</v>
      </c>
      <c r="X54" s="58" t="s">
        <v>383</v>
      </c>
      <c r="Y54" s="58" t="s">
        <v>383</v>
      </c>
      <c r="Z54" s="58" t="s">
        <v>383</v>
      </c>
      <c r="AA54" s="204">
        <v>19</v>
      </c>
      <c r="AB54" s="69">
        <v>0</v>
      </c>
      <c r="AC54" s="69" t="s">
        <v>383</v>
      </c>
      <c r="AD54" s="65" t="s">
        <v>383</v>
      </c>
      <c r="AE54" s="198" t="s">
        <v>383</v>
      </c>
      <c r="AF54" s="58">
        <v>0</v>
      </c>
      <c r="AG54" s="204" t="s">
        <v>383</v>
      </c>
      <c r="AH54" s="69" t="s">
        <v>383</v>
      </c>
      <c r="AI54" s="69">
        <v>0</v>
      </c>
      <c r="AJ54" s="69" t="s">
        <v>383</v>
      </c>
    </row>
    <row r="55" spans="1:36" s="123" customFormat="1" ht="30" customHeight="1" x14ac:dyDescent="0.3">
      <c r="A55" s="60" t="str">
        <f t="shared" si="0"/>
        <v>Unitil</v>
      </c>
      <c r="B55" s="66" t="s">
        <v>383</v>
      </c>
      <c r="C55" s="66" t="s">
        <v>383</v>
      </c>
      <c r="D55" s="58" t="s">
        <v>434</v>
      </c>
      <c r="E55" s="58" t="s">
        <v>385</v>
      </c>
      <c r="F55" s="58" t="s">
        <v>439</v>
      </c>
      <c r="G55" s="58" t="s">
        <v>385</v>
      </c>
      <c r="H55" s="10" t="s">
        <v>387</v>
      </c>
      <c r="I55" s="58">
        <v>0</v>
      </c>
      <c r="J55" s="58">
        <v>0</v>
      </c>
      <c r="K55" s="66" t="s">
        <v>383</v>
      </c>
      <c r="L55" s="58" t="s">
        <v>383</v>
      </c>
      <c r="M55" s="58" t="s">
        <v>383</v>
      </c>
      <c r="N55" s="65" t="s">
        <v>383</v>
      </c>
      <c r="O55" s="58" t="s">
        <v>383</v>
      </c>
      <c r="P55" s="58" t="s">
        <v>383</v>
      </c>
      <c r="Q55" s="198" t="s">
        <v>383</v>
      </c>
      <c r="R55" s="65">
        <v>3</v>
      </c>
      <c r="S55" s="58">
        <v>1</v>
      </c>
      <c r="T55" s="58">
        <v>0</v>
      </c>
      <c r="U55" s="203">
        <v>6</v>
      </c>
      <c r="V55" s="65">
        <v>0</v>
      </c>
      <c r="W55" s="65" t="s">
        <v>383</v>
      </c>
      <c r="X55" s="58" t="s">
        <v>383</v>
      </c>
      <c r="Y55" s="58" t="s">
        <v>383</v>
      </c>
      <c r="Z55" s="58" t="s">
        <v>383</v>
      </c>
      <c r="AA55" s="204">
        <v>6</v>
      </c>
      <c r="AB55" s="69">
        <v>0</v>
      </c>
      <c r="AC55" s="69" t="s">
        <v>383</v>
      </c>
      <c r="AD55" s="65" t="s">
        <v>383</v>
      </c>
      <c r="AE55" s="198" t="s">
        <v>383</v>
      </c>
      <c r="AF55" s="58">
        <v>0</v>
      </c>
      <c r="AG55" s="204" t="s">
        <v>383</v>
      </c>
      <c r="AH55" s="69" t="s">
        <v>383</v>
      </c>
      <c r="AI55" s="69">
        <v>0</v>
      </c>
      <c r="AJ55" s="69" t="s">
        <v>383</v>
      </c>
    </row>
    <row r="56" spans="1:36" s="123" customFormat="1" ht="30" customHeight="1" x14ac:dyDescent="0.3">
      <c r="A56" s="60" t="str">
        <f t="shared" si="0"/>
        <v>Unitil</v>
      </c>
      <c r="B56" s="66" t="s">
        <v>383</v>
      </c>
      <c r="C56" s="66" t="s">
        <v>383</v>
      </c>
      <c r="D56" s="58" t="s">
        <v>434</v>
      </c>
      <c r="E56" s="58" t="s">
        <v>385</v>
      </c>
      <c r="F56" s="58">
        <v>1303</v>
      </c>
      <c r="G56" s="58" t="s">
        <v>385</v>
      </c>
      <c r="H56" s="10" t="s">
        <v>387</v>
      </c>
      <c r="I56" s="58">
        <v>0</v>
      </c>
      <c r="J56" s="58">
        <v>0</v>
      </c>
      <c r="K56" s="66" t="s">
        <v>383</v>
      </c>
      <c r="L56" s="58" t="s">
        <v>383</v>
      </c>
      <c r="M56" s="58" t="s">
        <v>383</v>
      </c>
      <c r="N56" s="65" t="s">
        <v>383</v>
      </c>
      <c r="O56" s="58" t="s">
        <v>383</v>
      </c>
      <c r="P56" s="58" t="s">
        <v>383</v>
      </c>
      <c r="Q56" s="198" t="s">
        <v>383</v>
      </c>
      <c r="R56" s="65">
        <v>0</v>
      </c>
      <c r="S56" s="58">
        <v>0</v>
      </c>
      <c r="T56" s="58">
        <v>0</v>
      </c>
      <c r="U56" s="203">
        <v>0</v>
      </c>
      <c r="V56" s="65">
        <v>0</v>
      </c>
      <c r="W56" s="65" t="s">
        <v>383</v>
      </c>
      <c r="X56" s="58" t="s">
        <v>383</v>
      </c>
      <c r="Y56" s="58" t="s">
        <v>383</v>
      </c>
      <c r="Z56" s="58" t="s">
        <v>383</v>
      </c>
      <c r="AA56" s="204">
        <f t="shared" ref="AA56:AA64" si="2">SUM(R56:S56,U56)</f>
        <v>0</v>
      </c>
      <c r="AB56" s="69">
        <v>0</v>
      </c>
      <c r="AC56" s="69" t="s">
        <v>383</v>
      </c>
      <c r="AD56" s="65" t="s">
        <v>383</v>
      </c>
      <c r="AE56" s="198" t="s">
        <v>383</v>
      </c>
      <c r="AF56" s="58">
        <v>0</v>
      </c>
      <c r="AG56" s="204" t="s">
        <v>383</v>
      </c>
      <c r="AH56" s="69" t="s">
        <v>383</v>
      </c>
      <c r="AI56" s="69">
        <v>0</v>
      </c>
      <c r="AJ56" s="69" t="s">
        <v>383</v>
      </c>
    </row>
    <row r="57" spans="1:36" s="123" customFormat="1" ht="30" customHeight="1" x14ac:dyDescent="0.3">
      <c r="A57" s="60" t="str">
        <f t="shared" si="0"/>
        <v>Unitil</v>
      </c>
      <c r="B57" s="66" t="s">
        <v>383</v>
      </c>
      <c r="C57" s="66" t="s">
        <v>383</v>
      </c>
      <c r="D57" s="58" t="s">
        <v>434</v>
      </c>
      <c r="E57" s="58" t="s">
        <v>385</v>
      </c>
      <c r="F57" s="58">
        <v>1309</v>
      </c>
      <c r="G57" s="58" t="s">
        <v>385</v>
      </c>
      <c r="H57" s="10" t="s">
        <v>387</v>
      </c>
      <c r="I57" s="58">
        <v>0</v>
      </c>
      <c r="J57" s="58">
        <v>0</v>
      </c>
      <c r="K57" s="66" t="s">
        <v>383</v>
      </c>
      <c r="L57" s="58" t="s">
        <v>383</v>
      </c>
      <c r="M57" s="58" t="s">
        <v>383</v>
      </c>
      <c r="N57" s="65" t="s">
        <v>383</v>
      </c>
      <c r="O57" s="58" t="s">
        <v>383</v>
      </c>
      <c r="P57" s="58" t="s">
        <v>383</v>
      </c>
      <c r="Q57" s="198" t="s">
        <v>383</v>
      </c>
      <c r="R57" s="65">
        <v>0</v>
      </c>
      <c r="S57" s="58">
        <v>0</v>
      </c>
      <c r="T57" s="58">
        <v>0</v>
      </c>
      <c r="U57" s="203">
        <v>0</v>
      </c>
      <c r="V57" s="65">
        <v>0</v>
      </c>
      <c r="W57" s="65" t="s">
        <v>383</v>
      </c>
      <c r="X57" s="58" t="s">
        <v>383</v>
      </c>
      <c r="Y57" s="58" t="s">
        <v>383</v>
      </c>
      <c r="Z57" s="58" t="s">
        <v>383</v>
      </c>
      <c r="AA57" s="204">
        <f t="shared" si="2"/>
        <v>0</v>
      </c>
      <c r="AB57" s="69">
        <v>0</v>
      </c>
      <c r="AC57" s="69" t="s">
        <v>383</v>
      </c>
      <c r="AD57" s="65" t="s">
        <v>383</v>
      </c>
      <c r="AE57" s="198" t="s">
        <v>383</v>
      </c>
      <c r="AF57" s="58">
        <v>0</v>
      </c>
      <c r="AG57" s="204" t="s">
        <v>383</v>
      </c>
      <c r="AH57" s="69" t="s">
        <v>383</v>
      </c>
      <c r="AI57" s="69">
        <v>0</v>
      </c>
      <c r="AJ57" s="69" t="s">
        <v>383</v>
      </c>
    </row>
    <row r="58" spans="1:36" s="123" customFormat="1" ht="30" customHeight="1" x14ac:dyDescent="0.3">
      <c r="A58" s="60" t="str">
        <f t="shared" si="0"/>
        <v>Unitil</v>
      </c>
      <c r="B58" s="66" t="s">
        <v>383</v>
      </c>
      <c r="C58" s="66" t="s">
        <v>383</v>
      </c>
      <c r="D58" s="58" t="s">
        <v>434</v>
      </c>
      <c r="E58" s="58" t="s">
        <v>385</v>
      </c>
      <c r="F58" s="496"/>
      <c r="G58" s="496"/>
      <c r="H58" s="497"/>
      <c r="I58" s="58">
        <v>0</v>
      </c>
      <c r="J58" s="58">
        <v>0</v>
      </c>
      <c r="K58" s="58" t="s">
        <v>383</v>
      </c>
      <c r="L58" s="58" t="s">
        <v>383</v>
      </c>
      <c r="M58" s="58" t="s">
        <v>383</v>
      </c>
      <c r="N58" s="65" t="s">
        <v>383</v>
      </c>
      <c r="O58" s="58" t="s">
        <v>383</v>
      </c>
      <c r="P58" s="58" t="s">
        <v>383</v>
      </c>
      <c r="Q58" s="204" t="s">
        <v>383</v>
      </c>
      <c r="R58" s="65">
        <v>0</v>
      </c>
      <c r="S58" s="58">
        <v>2</v>
      </c>
      <c r="T58" s="58">
        <v>0</v>
      </c>
      <c r="U58" s="203">
        <v>0</v>
      </c>
      <c r="V58" s="65">
        <v>0</v>
      </c>
      <c r="W58" s="205" t="s">
        <v>383</v>
      </c>
      <c r="X58" s="633" t="s">
        <v>383</v>
      </c>
      <c r="Y58" s="633" t="s">
        <v>383</v>
      </c>
      <c r="Z58" s="633" t="s">
        <v>383</v>
      </c>
      <c r="AA58" s="208">
        <f t="shared" si="2"/>
        <v>2</v>
      </c>
      <c r="AB58" s="69">
        <v>0</v>
      </c>
      <c r="AC58" s="207" t="s">
        <v>383</v>
      </c>
      <c r="AD58" s="205" t="s">
        <v>383</v>
      </c>
      <c r="AE58" s="206" t="s">
        <v>383</v>
      </c>
      <c r="AF58" s="58">
        <v>0</v>
      </c>
      <c r="AG58" s="204" t="s">
        <v>383</v>
      </c>
      <c r="AH58" s="207" t="s">
        <v>383</v>
      </c>
      <c r="AI58" s="69">
        <v>0</v>
      </c>
      <c r="AJ58" s="207" t="s">
        <v>383</v>
      </c>
    </row>
    <row r="59" spans="1:36" s="123" customFormat="1" ht="30" customHeight="1" x14ac:dyDescent="0.3">
      <c r="A59" s="60" t="str">
        <f t="shared" si="0"/>
        <v>Unitil</v>
      </c>
      <c r="B59" s="66" t="s">
        <v>383</v>
      </c>
      <c r="C59" s="66" t="s">
        <v>383</v>
      </c>
      <c r="D59" s="58" t="s">
        <v>440</v>
      </c>
      <c r="E59" s="58" t="s">
        <v>385</v>
      </c>
      <c r="F59" s="58" t="s">
        <v>441</v>
      </c>
      <c r="G59" s="58" t="s">
        <v>385</v>
      </c>
      <c r="H59" s="10" t="s">
        <v>387</v>
      </c>
      <c r="I59" s="58">
        <v>0</v>
      </c>
      <c r="J59" s="58">
        <v>0</v>
      </c>
      <c r="K59" s="58" t="s">
        <v>383</v>
      </c>
      <c r="L59" s="58" t="s">
        <v>383</v>
      </c>
      <c r="M59" s="58" t="s">
        <v>383</v>
      </c>
      <c r="N59" s="65" t="s">
        <v>383</v>
      </c>
      <c r="O59" s="58" t="s">
        <v>383</v>
      </c>
      <c r="P59" s="58" t="s">
        <v>383</v>
      </c>
      <c r="Q59" s="204" t="s">
        <v>383</v>
      </c>
      <c r="R59" s="65">
        <v>0</v>
      </c>
      <c r="S59" s="58">
        <v>0</v>
      </c>
      <c r="T59" s="58">
        <v>0</v>
      </c>
      <c r="U59" s="203">
        <v>0</v>
      </c>
      <c r="V59" s="65">
        <v>0</v>
      </c>
      <c r="W59" s="205" t="s">
        <v>383</v>
      </c>
      <c r="X59" s="633" t="s">
        <v>383</v>
      </c>
      <c r="Y59" s="633" t="s">
        <v>383</v>
      </c>
      <c r="Z59" s="633" t="s">
        <v>383</v>
      </c>
      <c r="AA59" s="208">
        <f t="shared" si="2"/>
        <v>0</v>
      </c>
      <c r="AB59" s="69">
        <v>0</v>
      </c>
      <c r="AC59" s="207" t="s">
        <v>383</v>
      </c>
      <c r="AD59" s="205" t="s">
        <v>383</v>
      </c>
      <c r="AE59" s="208" t="s">
        <v>383</v>
      </c>
      <c r="AF59" s="58">
        <v>0</v>
      </c>
      <c r="AG59" s="204" t="s">
        <v>383</v>
      </c>
      <c r="AH59" s="207" t="s">
        <v>383</v>
      </c>
      <c r="AI59" s="69">
        <v>0</v>
      </c>
      <c r="AJ59" s="207" t="s">
        <v>383</v>
      </c>
    </row>
    <row r="60" spans="1:36" s="123" customFormat="1" ht="30" customHeight="1" x14ac:dyDescent="0.3">
      <c r="A60" s="60" t="str">
        <f t="shared" si="0"/>
        <v>Unitil</v>
      </c>
      <c r="B60" s="66" t="s">
        <v>383</v>
      </c>
      <c r="C60" s="66" t="s">
        <v>383</v>
      </c>
      <c r="D60" s="58" t="s">
        <v>440</v>
      </c>
      <c r="E60" s="58" t="s">
        <v>385</v>
      </c>
      <c r="F60" s="58" t="s">
        <v>442</v>
      </c>
      <c r="G60" s="58" t="s">
        <v>385</v>
      </c>
      <c r="H60" s="10" t="s">
        <v>387</v>
      </c>
      <c r="I60" s="58">
        <v>0</v>
      </c>
      <c r="J60" s="58">
        <v>0</v>
      </c>
      <c r="K60" s="58" t="s">
        <v>383</v>
      </c>
      <c r="L60" s="58" t="s">
        <v>383</v>
      </c>
      <c r="M60" s="58" t="s">
        <v>383</v>
      </c>
      <c r="N60" s="65" t="s">
        <v>383</v>
      </c>
      <c r="O60" s="58" t="s">
        <v>383</v>
      </c>
      <c r="P60" s="58" t="s">
        <v>383</v>
      </c>
      <c r="Q60" s="204" t="s">
        <v>383</v>
      </c>
      <c r="R60" s="65">
        <v>0</v>
      </c>
      <c r="S60" s="58">
        <v>0</v>
      </c>
      <c r="T60" s="58">
        <v>0</v>
      </c>
      <c r="U60" s="203">
        <v>0</v>
      </c>
      <c r="V60" s="65">
        <v>0</v>
      </c>
      <c r="W60" s="205" t="s">
        <v>383</v>
      </c>
      <c r="X60" s="633" t="s">
        <v>383</v>
      </c>
      <c r="Y60" s="633" t="s">
        <v>383</v>
      </c>
      <c r="Z60" s="633" t="s">
        <v>383</v>
      </c>
      <c r="AA60" s="208">
        <f t="shared" si="2"/>
        <v>0</v>
      </c>
      <c r="AB60" s="69">
        <v>0</v>
      </c>
      <c r="AC60" s="207" t="s">
        <v>383</v>
      </c>
      <c r="AD60" s="205" t="s">
        <v>383</v>
      </c>
      <c r="AE60" s="208" t="s">
        <v>383</v>
      </c>
      <c r="AF60" s="58">
        <v>0</v>
      </c>
      <c r="AG60" s="204" t="s">
        <v>383</v>
      </c>
      <c r="AH60" s="207" t="s">
        <v>383</v>
      </c>
      <c r="AI60" s="69">
        <v>0</v>
      </c>
      <c r="AJ60" s="207" t="s">
        <v>383</v>
      </c>
    </row>
    <row r="61" spans="1:36" s="123" customFormat="1" ht="30" customHeight="1" x14ac:dyDescent="0.3">
      <c r="A61" s="60" t="str">
        <f t="shared" si="0"/>
        <v>Unitil</v>
      </c>
      <c r="B61" s="66" t="s">
        <v>383</v>
      </c>
      <c r="C61" s="66" t="s">
        <v>383</v>
      </c>
      <c r="D61" s="58" t="s">
        <v>440</v>
      </c>
      <c r="E61" s="58" t="s">
        <v>385</v>
      </c>
      <c r="F61" s="58" t="s">
        <v>443</v>
      </c>
      <c r="G61" s="58" t="s">
        <v>385</v>
      </c>
      <c r="H61" s="10" t="s">
        <v>387</v>
      </c>
      <c r="I61" s="58">
        <v>0</v>
      </c>
      <c r="J61" s="58">
        <v>0</v>
      </c>
      <c r="K61" s="58" t="s">
        <v>383</v>
      </c>
      <c r="L61" s="58" t="s">
        <v>383</v>
      </c>
      <c r="M61" s="58" t="s">
        <v>383</v>
      </c>
      <c r="N61" s="65" t="s">
        <v>383</v>
      </c>
      <c r="O61" s="58" t="s">
        <v>383</v>
      </c>
      <c r="P61" s="58" t="s">
        <v>383</v>
      </c>
      <c r="Q61" s="204" t="s">
        <v>383</v>
      </c>
      <c r="R61" s="65">
        <v>0</v>
      </c>
      <c r="S61" s="58">
        <v>0</v>
      </c>
      <c r="T61" s="58">
        <v>0</v>
      </c>
      <c r="U61" s="203">
        <v>0</v>
      </c>
      <c r="V61" s="65">
        <v>0</v>
      </c>
      <c r="W61" s="205" t="s">
        <v>383</v>
      </c>
      <c r="X61" s="633" t="s">
        <v>383</v>
      </c>
      <c r="Y61" s="633" t="s">
        <v>383</v>
      </c>
      <c r="Z61" s="633" t="s">
        <v>383</v>
      </c>
      <c r="AA61" s="208">
        <f t="shared" si="2"/>
        <v>0</v>
      </c>
      <c r="AB61" s="69">
        <v>0</v>
      </c>
      <c r="AC61" s="207" t="s">
        <v>383</v>
      </c>
      <c r="AD61" s="205" t="s">
        <v>383</v>
      </c>
      <c r="AE61" s="208" t="s">
        <v>383</v>
      </c>
      <c r="AF61" s="58">
        <v>0</v>
      </c>
      <c r="AG61" s="204" t="s">
        <v>383</v>
      </c>
      <c r="AH61" s="207" t="s">
        <v>383</v>
      </c>
      <c r="AI61" s="69">
        <v>0</v>
      </c>
      <c r="AJ61" s="207" t="s">
        <v>383</v>
      </c>
    </row>
    <row r="62" spans="1:36" s="123" customFormat="1" ht="30" customHeight="1" x14ac:dyDescent="0.3">
      <c r="A62" s="60" t="str">
        <f t="shared" si="0"/>
        <v>Unitil</v>
      </c>
      <c r="B62" s="66" t="s">
        <v>383</v>
      </c>
      <c r="C62" s="66" t="s">
        <v>383</v>
      </c>
      <c r="D62" s="58" t="s">
        <v>440</v>
      </c>
      <c r="E62" s="58" t="s">
        <v>385</v>
      </c>
      <c r="F62" s="58" t="s">
        <v>444</v>
      </c>
      <c r="G62" s="58" t="s">
        <v>385</v>
      </c>
      <c r="H62" s="10" t="s">
        <v>387</v>
      </c>
      <c r="I62" s="58">
        <v>0</v>
      </c>
      <c r="J62" s="58">
        <v>0</v>
      </c>
      <c r="K62" s="58" t="s">
        <v>383</v>
      </c>
      <c r="L62" s="58" t="s">
        <v>383</v>
      </c>
      <c r="M62" s="58" t="s">
        <v>383</v>
      </c>
      <c r="N62" s="65" t="s">
        <v>383</v>
      </c>
      <c r="O62" s="58" t="s">
        <v>383</v>
      </c>
      <c r="P62" s="58" t="s">
        <v>383</v>
      </c>
      <c r="Q62" s="204" t="s">
        <v>383</v>
      </c>
      <c r="R62" s="65">
        <v>0</v>
      </c>
      <c r="S62" s="58">
        <v>0</v>
      </c>
      <c r="T62" s="58">
        <v>0</v>
      </c>
      <c r="U62" s="203">
        <v>0</v>
      </c>
      <c r="V62" s="65">
        <v>0</v>
      </c>
      <c r="W62" s="205" t="s">
        <v>383</v>
      </c>
      <c r="X62" s="633" t="s">
        <v>383</v>
      </c>
      <c r="Y62" s="633" t="s">
        <v>383</v>
      </c>
      <c r="Z62" s="633" t="s">
        <v>383</v>
      </c>
      <c r="AA62" s="208">
        <f t="shared" si="2"/>
        <v>0</v>
      </c>
      <c r="AB62" s="69">
        <v>0</v>
      </c>
      <c r="AC62" s="207" t="s">
        <v>383</v>
      </c>
      <c r="AD62" s="205" t="s">
        <v>383</v>
      </c>
      <c r="AE62" s="208" t="s">
        <v>383</v>
      </c>
      <c r="AF62" s="58">
        <v>0</v>
      </c>
      <c r="AG62" s="204" t="s">
        <v>383</v>
      </c>
      <c r="AH62" s="207" t="s">
        <v>383</v>
      </c>
      <c r="AI62" s="69">
        <v>0</v>
      </c>
      <c r="AJ62" s="207" t="s">
        <v>383</v>
      </c>
    </row>
    <row r="63" spans="1:36" s="123" customFormat="1" ht="30" customHeight="1" x14ac:dyDescent="0.3">
      <c r="A63" s="60" t="str">
        <f t="shared" si="0"/>
        <v>Unitil</v>
      </c>
      <c r="B63" s="66" t="s">
        <v>383</v>
      </c>
      <c r="C63" s="66" t="s">
        <v>383</v>
      </c>
      <c r="D63" s="58" t="s">
        <v>440</v>
      </c>
      <c r="E63" s="58" t="s">
        <v>385</v>
      </c>
      <c r="F63" s="58" t="s">
        <v>445</v>
      </c>
      <c r="G63" s="58" t="s">
        <v>385</v>
      </c>
      <c r="H63" s="196" t="s">
        <v>387</v>
      </c>
      <c r="I63" s="58">
        <v>0</v>
      </c>
      <c r="J63" s="58">
        <v>0</v>
      </c>
      <c r="K63" s="58" t="s">
        <v>383</v>
      </c>
      <c r="L63" s="58" t="s">
        <v>383</v>
      </c>
      <c r="M63" s="58" t="s">
        <v>383</v>
      </c>
      <c r="N63" s="65" t="s">
        <v>383</v>
      </c>
      <c r="O63" s="58" t="s">
        <v>383</v>
      </c>
      <c r="P63" s="58" t="s">
        <v>383</v>
      </c>
      <c r="Q63" s="204" t="s">
        <v>383</v>
      </c>
      <c r="R63" s="65">
        <v>0</v>
      </c>
      <c r="S63" s="58">
        <v>0</v>
      </c>
      <c r="T63" s="58">
        <v>0</v>
      </c>
      <c r="U63" s="203">
        <v>0</v>
      </c>
      <c r="V63" s="65">
        <v>0</v>
      </c>
      <c r="W63" s="205" t="s">
        <v>383</v>
      </c>
      <c r="X63" s="633" t="s">
        <v>383</v>
      </c>
      <c r="Y63" s="633" t="s">
        <v>383</v>
      </c>
      <c r="Z63" s="633" t="s">
        <v>383</v>
      </c>
      <c r="AA63" s="208">
        <f t="shared" si="2"/>
        <v>0</v>
      </c>
      <c r="AB63" s="69">
        <v>0</v>
      </c>
      <c r="AC63" s="207" t="s">
        <v>383</v>
      </c>
      <c r="AD63" s="205" t="s">
        <v>383</v>
      </c>
      <c r="AE63" s="208" t="s">
        <v>383</v>
      </c>
      <c r="AF63" s="58">
        <v>0</v>
      </c>
      <c r="AG63" s="204" t="s">
        <v>383</v>
      </c>
      <c r="AH63" s="207" t="s">
        <v>383</v>
      </c>
      <c r="AI63" s="69">
        <v>0</v>
      </c>
      <c r="AJ63" s="207" t="s">
        <v>383</v>
      </c>
    </row>
    <row r="64" spans="1:36" s="123" customFormat="1" ht="30" customHeight="1" thickBot="1" x14ac:dyDescent="0.35">
      <c r="A64" s="60" t="str">
        <f t="shared" si="0"/>
        <v>Unitil</v>
      </c>
      <c r="B64" s="66" t="s">
        <v>383</v>
      </c>
      <c r="C64" s="66" t="s">
        <v>383</v>
      </c>
      <c r="D64" s="58" t="s">
        <v>440</v>
      </c>
      <c r="E64" s="58" t="s">
        <v>385</v>
      </c>
      <c r="F64" s="496"/>
      <c r="G64" s="496"/>
      <c r="H64" s="508"/>
      <c r="I64" s="212">
        <v>0</v>
      </c>
      <c r="J64" s="58">
        <v>0</v>
      </c>
      <c r="K64" s="212" t="s">
        <v>383</v>
      </c>
      <c r="L64" s="212" t="s">
        <v>383</v>
      </c>
      <c r="M64" s="212" t="s">
        <v>383</v>
      </c>
      <c r="N64" s="211" t="s">
        <v>383</v>
      </c>
      <c r="O64" s="212" t="s">
        <v>383</v>
      </c>
      <c r="P64" s="212" t="s">
        <v>383</v>
      </c>
      <c r="Q64" s="213" t="s">
        <v>383</v>
      </c>
      <c r="R64" s="604">
        <v>0</v>
      </c>
      <c r="S64" s="209">
        <v>0</v>
      </c>
      <c r="T64" s="209">
        <v>0</v>
      </c>
      <c r="U64" s="210">
        <v>0</v>
      </c>
      <c r="V64" s="604">
        <v>0</v>
      </c>
      <c r="W64" s="634" t="s">
        <v>383</v>
      </c>
      <c r="X64" s="635" t="s">
        <v>383</v>
      </c>
      <c r="Y64" s="635" t="s">
        <v>383</v>
      </c>
      <c r="Z64" s="635" t="s">
        <v>383</v>
      </c>
      <c r="AA64" s="636">
        <f t="shared" si="2"/>
        <v>0</v>
      </c>
      <c r="AB64" s="69">
        <v>0</v>
      </c>
      <c r="AC64" s="216" t="s">
        <v>383</v>
      </c>
      <c r="AD64" s="214" t="s">
        <v>383</v>
      </c>
      <c r="AE64" s="215" t="s">
        <v>383</v>
      </c>
      <c r="AF64" s="209">
        <v>0</v>
      </c>
      <c r="AG64" s="605" t="s">
        <v>383</v>
      </c>
      <c r="AH64" s="216" t="s">
        <v>383</v>
      </c>
      <c r="AI64" s="509">
        <v>0</v>
      </c>
      <c r="AJ64" s="216" t="s">
        <v>383</v>
      </c>
    </row>
    <row r="65" spans="1:36" s="123" customFormat="1" ht="15" thickBot="1" x14ac:dyDescent="0.35">
      <c r="A65" s="236" t="s">
        <v>31</v>
      </c>
      <c r="B65" s="871"/>
      <c r="C65" s="872"/>
      <c r="D65" s="872"/>
      <c r="E65" s="872"/>
      <c r="F65" s="872"/>
      <c r="G65" s="872"/>
      <c r="H65" s="873"/>
      <c r="I65" s="200">
        <f>SUM(I8:I64)</f>
        <v>0</v>
      </c>
      <c r="J65" s="200">
        <f t="shared" ref="J65:U65" si="3">SUM(J8:J64)</f>
        <v>0</v>
      </c>
      <c r="K65" s="200">
        <f>SUM(K8:K64)</f>
        <v>0</v>
      </c>
      <c r="L65" s="200">
        <f t="shared" ref="L65" si="4">SUM(L8:L64)</f>
        <v>0</v>
      </c>
      <c r="M65" s="200">
        <f t="shared" si="3"/>
        <v>0</v>
      </c>
      <c r="N65" s="199">
        <f t="shared" si="3"/>
        <v>0</v>
      </c>
      <c r="O65" s="200">
        <f t="shared" si="3"/>
        <v>0</v>
      </c>
      <c r="P65" s="200">
        <f t="shared" si="3"/>
        <v>0</v>
      </c>
      <c r="Q65" s="201">
        <f t="shared" si="3"/>
        <v>0</v>
      </c>
      <c r="R65" s="199">
        <f t="shared" si="3"/>
        <v>12</v>
      </c>
      <c r="S65" s="200">
        <f t="shared" si="3"/>
        <v>6</v>
      </c>
      <c r="T65" s="200">
        <f t="shared" si="3"/>
        <v>0</v>
      </c>
      <c r="U65" s="200">
        <f t="shared" si="3"/>
        <v>30</v>
      </c>
      <c r="V65" s="200">
        <f t="shared" ref="V65:AC65" si="5">SUM(V8:V64)</f>
        <v>4</v>
      </c>
      <c r="W65" s="199">
        <f t="shared" si="5"/>
        <v>0</v>
      </c>
      <c r="X65" s="632"/>
      <c r="Y65" s="632"/>
      <c r="Z65" s="632"/>
      <c r="AA65" s="201">
        <f t="shared" si="5"/>
        <v>32</v>
      </c>
      <c r="AB65" s="202">
        <f t="shared" si="5"/>
        <v>0</v>
      </c>
      <c r="AC65" s="202">
        <f t="shared" si="5"/>
        <v>0</v>
      </c>
      <c r="AD65" s="199">
        <f t="shared" ref="AD65:AI65" si="6">SUM(AD8:AD64)</f>
        <v>0</v>
      </c>
      <c r="AE65" s="201">
        <f t="shared" si="6"/>
        <v>0</v>
      </c>
      <c r="AF65" s="200">
        <f t="shared" si="6"/>
        <v>0</v>
      </c>
      <c r="AG65" s="200">
        <f t="shared" si="6"/>
        <v>0</v>
      </c>
      <c r="AH65" s="202">
        <f t="shared" si="6"/>
        <v>0</v>
      </c>
      <c r="AI65" s="202">
        <f t="shared" si="6"/>
        <v>0</v>
      </c>
      <c r="AJ65" s="202">
        <f>SUM(AJ8:AJ64)</f>
        <v>0</v>
      </c>
    </row>
    <row r="67" spans="1:36" x14ac:dyDescent="0.3">
      <c r="A67" s="38" t="s">
        <v>32</v>
      </c>
      <c r="C67" s="62"/>
      <c r="D67" s="124"/>
      <c r="E67" s="124"/>
      <c r="F67" s="124"/>
      <c r="G67" s="124"/>
      <c r="H67" s="124"/>
      <c r="I67" s="123"/>
      <c r="J67" s="123"/>
      <c r="M67" s="123"/>
      <c r="N67" s="123"/>
      <c r="O67" s="123"/>
      <c r="P67" s="123"/>
      <c r="Q67" s="123"/>
      <c r="R67" s="123"/>
      <c r="S67" s="123"/>
      <c r="T67" s="123"/>
      <c r="U67" s="123"/>
    </row>
    <row r="68" spans="1:36" s="123" customFormat="1" x14ac:dyDescent="0.3">
      <c r="A68" s="194" t="s">
        <v>33</v>
      </c>
      <c r="B68" s="152"/>
      <c r="C68" s="217"/>
      <c r="D68" s="146"/>
      <c r="E68" s="146"/>
      <c r="F68" s="146"/>
      <c r="G68" s="146"/>
      <c r="H68" s="146"/>
      <c r="I68" s="153"/>
      <c r="J68" s="218"/>
      <c r="K68" s="218"/>
      <c r="L68" s="218"/>
      <c r="M68" s="218"/>
      <c r="N68" s="193"/>
      <c r="O68" s="193"/>
    </row>
    <row r="69" spans="1:36" ht="15" customHeight="1" x14ac:dyDescent="0.3">
      <c r="A69" s="164" t="s">
        <v>34</v>
      </c>
      <c r="B69" s="341"/>
      <c r="C69" s="160"/>
      <c r="D69" s="160"/>
      <c r="E69" s="160"/>
      <c r="F69" s="160"/>
      <c r="G69" s="160"/>
      <c r="H69" s="160"/>
      <c r="I69" s="186"/>
      <c r="J69" s="170"/>
      <c r="K69" s="170"/>
      <c r="L69" s="170"/>
      <c r="M69" s="170"/>
      <c r="N69" s="99"/>
      <c r="O69" s="99"/>
      <c r="P69" s="6"/>
      <c r="Q69" s="6"/>
      <c r="R69" s="123"/>
      <c r="S69" s="123"/>
      <c r="T69" s="123"/>
      <c r="U69" s="123"/>
    </row>
    <row r="70" spans="1:36" ht="15" customHeight="1" x14ac:dyDescent="0.3">
      <c r="A70" s="164" t="s">
        <v>35</v>
      </c>
      <c r="B70" s="341"/>
      <c r="C70" s="160"/>
      <c r="D70" s="160"/>
      <c r="E70" s="160"/>
      <c r="F70" s="160"/>
      <c r="G70" s="160"/>
      <c r="H70" s="160"/>
      <c r="I70" s="186"/>
      <c r="J70" s="170"/>
      <c r="K70" s="170"/>
      <c r="L70" s="170"/>
      <c r="M70" s="170"/>
      <c r="N70" s="99"/>
      <c r="O70" s="99"/>
      <c r="P70" s="6"/>
      <c r="Q70" s="6"/>
      <c r="R70" s="123"/>
      <c r="S70" s="123"/>
      <c r="T70" s="123"/>
      <c r="U70" s="123"/>
    </row>
    <row r="71" spans="1:36" ht="15" customHeight="1" x14ac:dyDescent="0.3">
      <c r="A71" s="164" t="s">
        <v>36</v>
      </c>
      <c r="B71" s="341"/>
      <c r="C71" s="160"/>
      <c r="D71" s="160"/>
      <c r="E71" s="160"/>
      <c r="F71" s="160"/>
      <c r="G71" s="160"/>
      <c r="H71" s="160"/>
      <c r="I71" s="186"/>
      <c r="J71" s="170"/>
      <c r="K71" s="170"/>
      <c r="L71" s="170"/>
      <c r="M71" s="170"/>
      <c r="N71" s="99"/>
      <c r="O71" s="99"/>
      <c r="P71" s="6"/>
      <c r="Q71" s="6"/>
      <c r="R71" s="123"/>
      <c r="S71" s="123"/>
      <c r="T71" s="123"/>
      <c r="U71" s="123"/>
    </row>
    <row r="72" spans="1:36" ht="15" customHeight="1" x14ac:dyDescent="0.3">
      <c r="A72" s="167" t="s">
        <v>37</v>
      </c>
      <c r="B72" s="342"/>
      <c r="C72" s="171"/>
      <c r="D72" s="171"/>
      <c r="E72" s="171"/>
      <c r="F72" s="171"/>
      <c r="G72" s="171"/>
      <c r="H72" s="171"/>
      <c r="I72" s="189"/>
      <c r="J72" s="170"/>
      <c r="K72" s="170"/>
      <c r="L72" s="170"/>
      <c r="M72" s="170"/>
      <c r="N72" s="71"/>
      <c r="O72" s="71"/>
      <c r="P72" s="123"/>
      <c r="Q72" s="123"/>
      <c r="R72" s="123"/>
      <c r="S72" s="123"/>
      <c r="T72" s="123"/>
      <c r="U72" s="123"/>
    </row>
  </sheetData>
  <mergeCells count="8">
    <mergeCell ref="AF6:AG6"/>
    <mergeCell ref="AD6:AE6"/>
    <mergeCell ref="B65:H65"/>
    <mergeCell ref="A6:H6"/>
    <mergeCell ref="W6:AA6"/>
    <mergeCell ref="I6:M6"/>
    <mergeCell ref="N6:Q6"/>
    <mergeCell ref="R6:U6"/>
  </mergeCells>
  <printOptions headings="1" gridLines="1"/>
  <pageMargins left="0.7" right="0.7" top="0.75" bottom="0.75" header="0.3" footer="0.3"/>
  <pageSetup scale="28"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pageSetUpPr fitToPage="1"/>
  </sheetPr>
  <dimension ref="A1:Q29"/>
  <sheetViews>
    <sheetView showWhiteSpace="0" topLeftCell="A8" zoomScale="75" zoomScaleNormal="75" workbookViewId="0">
      <selection activeCell="S57" sqref="S57"/>
    </sheetView>
  </sheetViews>
  <sheetFormatPr defaultRowHeight="14.4" x14ac:dyDescent="0.3"/>
  <cols>
    <col min="1" max="1" width="23.33203125" style="123" customWidth="1"/>
    <col min="2" max="2" width="25.6640625" customWidth="1"/>
    <col min="3" max="10" width="15.6640625" customWidth="1"/>
    <col min="11" max="11" width="18" customWidth="1"/>
    <col min="12" max="17" width="15.6640625" customWidth="1"/>
  </cols>
  <sheetData>
    <row r="1" spans="1:17" x14ac:dyDescent="0.3">
      <c r="A1" s="1" t="s">
        <v>169</v>
      </c>
      <c r="B1" s="1" t="s">
        <v>170</v>
      </c>
      <c r="C1" s="139"/>
      <c r="D1" s="250" t="s">
        <v>2</v>
      </c>
      <c r="E1" s="250" t="s">
        <v>69</v>
      </c>
      <c r="F1" s="123"/>
      <c r="G1" s="123"/>
      <c r="H1" s="2"/>
      <c r="I1" s="123"/>
      <c r="J1" s="123"/>
      <c r="K1" s="123"/>
      <c r="L1" s="123"/>
      <c r="M1" s="123"/>
      <c r="N1" s="123"/>
      <c r="O1" s="123"/>
      <c r="P1" s="123"/>
      <c r="Q1" s="123"/>
    </row>
    <row r="2" spans="1:17" s="123" customFormat="1" x14ac:dyDescent="0.3">
      <c r="A2" s="1"/>
      <c r="B2" s="1"/>
      <c r="C2" s="139"/>
      <c r="D2" s="250" t="s">
        <v>4</v>
      </c>
      <c r="E2" s="265">
        <v>2022</v>
      </c>
      <c r="H2" s="2"/>
    </row>
    <row r="3" spans="1:17" x14ac:dyDescent="0.3">
      <c r="B3" s="1"/>
      <c r="C3" s="5"/>
      <c r="D3" s="2"/>
      <c r="E3" s="123"/>
      <c r="F3" s="123"/>
      <c r="G3" s="123"/>
      <c r="H3" s="123"/>
      <c r="I3" s="123"/>
      <c r="J3" s="123"/>
      <c r="K3" s="123"/>
      <c r="L3" s="123"/>
      <c r="M3" s="123"/>
      <c r="N3" s="123"/>
      <c r="O3" s="123"/>
      <c r="P3" s="123"/>
      <c r="Q3" s="123"/>
    </row>
    <row r="4" spans="1:17" ht="15" customHeight="1" x14ac:dyDescent="0.3">
      <c r="A4" s="181" t="s">
        <v>171</v>
      </c>
      <c r="B4" s="152"/>
      <c r="C4" s="182"/>
      <c r="D4" s="182"/>
      <c r="E4" s="182"/>
      <c r="F4" s="182"/>
      <c r="G4" s="183"/>
      <c r="H4" s="229"/>
      <c r="I4" s="229"/>
      <c r="J4" s="123"/>
      <c r="K4" s="123"/>
      <c r="L4" s="123"/>
      <c r="M4" s="123"/>
      <c r="N4" s="123"/>
      <c r="O4" s="123"/>
      <c r="P4" s="123"/>
      <c r="Q4" s="123"/>
    </row>
    <row r="5" spans="1:17" ht="15" customHeight="1" x14ac:dyDescent="0.3">
      <c r="A5" s="164" t="s">
        <v>172</v>
      </c>
      <c r="B5" s="158"/>
      <c r="C5" s="184"/>
      <c r="D5" s="184"/>
      <c r="E5" s="184"/>
      <c r="F5" s="184"/>
      <c r="G5" s="369"/>
      <c r="H5" s="229"/>
      <c r="I5" s="229"/>
      <c r="J5" s="123"/>
      <c r="K5" s="123"/>
      <c r="L5" s="123"/>
      <c r="M5" s="123"/>
      <c r="N5" s="123"/>
      <c r="O5" s="123"/>
      <c r="P5" s="123"/>
      <c r="Q5" s="123"/>
    </row>
    <row r="6" spans="1:17" ht="15" customHeight="1" x14ac:dyDescent="0.3">
      <c r="A6" s="164" t="s">
        <v>173</v>
      </c>
      <c r="B6" s="158"/>
      <c r="C6" s="160"/>
      <c r="D6" s="185"/>
      <c r="E6" s="160"/>
      <c r="F6" s="160"/>
      <c r="G6" s="186"/>
      <c r="H6" s="170"/>
      <c r="I6" s="170"/>
      <c r="J6" s="123"/>
      <c r="K6" s="123"/>
      <c r="L6" s="123"/>
      <c r="M6" s="123"/>
      <c r="N6" s="123"/>
      <c r="O6" s="123"/>
      <c r="P6" s="123"/>
      <c r="Q6" s="123"/>
    </row>
    <row r="7" spans="1:17" s="3" customFormat="1" ht="15" customHeight="1" x14ac:dyDescent="0.35">
      <c r="A7" s="164" t="s">
        <v>174</v>
      </c>
      <c r="B7" s="341"/>
      <c r="C7" s="187"/>
      <c r="D7" s="185"/>
      <c r="E7" s="187"/>
      <c r="F7" s="187"/>
      <c r="G7" s="370"/>
      <c r="H7" s="229"/>
      <c r="I7" s="229"/>
      <c r="J7" s="2"/>
      <c r="K7" s="2"/>
      <c r="L7" s="2"/>
      <c r="M7" s="2"/>
      <c r="N7" s="2"/>
      <c r="O7" s="2"/>
      <c r="P7" s="124"/>
      <c r="Q7" s="124"/>
    </row>
    <row r="8" spans="1:17" ht="15" customHeight="1" x14ac:dyDescent="0.3">
      <c r="A8" s="164" t="s">
        <v>175</v>
      </c>
      <c r="B8" s="158"/>
      <c r="C8" s="159"/>
      <c r="D8" s="185"/>
      <c r="E8" s="159"/>
      <c r="F8" s="159"/>
      <c r="G8" s="165"/>
      <c r="H8" s="351"/>
      <c r="I8" s="351"/>
      <c r="J8" s="123"/>
      <c r="K8" s="123"/>
      <c r="L8" s="123"/>
      <c r="M8" s="123"/>
      <c r="N8" s="123"/>
      <c r="O8" s="123"/>
      <c r="P8" s="123"/>
      <c r="Q8" s="123"/>
    </row>
    <row r="9" spans="1:17" ht="15" customHeight="1" x14ac:dyDescent="0.3">
      <c r="A9" s="164" t="s">
        <v>176</v>
      </c>
      <c r="B9" s="158"/>
      <c r="C9" s="160"/>
      <c r="D9" s="185"/>
      <c r="E9" s="160"/>
      <c r="F9" s="160"/>
      <c r="G9" s="186"/>
      <c r="H9" s="170"/>
      <c r="I9" s="170"/>
      <c r="J9" s="123"/>
      <c r="K9" s="123"/>
      <c r="L9" s="123"/>
      <c r="M9" s="123"/>
      <c r="N9" s="123"/>
      <c r="O9" s="123"/>
      <c r="P9" s="123"/>
      <c r="Q9" s="123"/>
    </row>
    <row r="10" spans="1:17" ht="15" customHeight="1" x14ac:dyDescent="0.3">
      <c r="A10" s="167" t="s">
        <v>177</v>
      </c>
      <c r="B10" s="168"/>
      <c r="C10" s="171"/>
      <c r="D10" s="188"/>
      <c r="E10" s="171"/>
      <c r="F10" s="171"/>
      <c r="G10" s="189"/>
      <c r="H10" s="170"/>
      <c r="I10" s="170"/>
      <c r="J10" s="123"/>
      <c r="K10" s="123"/>
      <c r="L10" s="123"/>
      <c r="M10" s="123"/>
      <c r="N10" s="123"/>
      <c r="O10" s="123"/>
      <c r="P10" s="123"/>
      <c r="Q10" s="123"/>
    </row>
    <row r="11" spans="1:17" ht="15" customHeight="1" thickBot="1" x14ac:dyDescent="0.35">
      <c r="B11" s="11"/>
      <c r="C11" s="123"/>
      <c r="D11" s="11"/>
      <c r="E11" s="11"/>
      <c r="F11" s="11"/>
      <c r="G11" s="11"/>
      <c r="H11" s="11"/>
      <c r="I11" s="123"/>
      <c r="J11" s="123"/>
      <c r="K11" s="123"/>
      <c r="L11" s="123"/>
      <c r="M11" s="123"/>
      <c r="N11" s="123"/>
      <c r="O11" s="123"/>
      <c r="P11" s="123"/>
      <c r="Q11" s="123"/>
    </row>
    <row r="12" spans="1:17" ht="16.2" thickBot="1" x14ac:dyDescent="0.35">
      <c r="B12" s="229"/>
      <c r="C12" s="965" t="s">
        <v>178</v>
      </c>
      <c r="D12" s="966"/>
      <c r="E12" s="966"/>
      <c r="F12" s="966"/>
      <c r="G12" s="966"/>
      <c r="H12" s="967"/>
      <c r="I12" s="959" t="s">
        <v>179</v>
      </c>
      <c r="J12" s="960"/>
      <c r="K12" s="961"/>
      <c r="L12" s="959" t="s">
        <v>180</v>
      </c>
      <c r="M12" s="960"/>
      <c r="N12" s="960"/>
      <c r="O12" s="960"/>
      <c r="P12" s="960"/>
      <c r="Q12" s="961"/>
    </row>
    <row r="13" spans="1:17" ht="75" customHeight="1" thickBot="1" x14ac:dyDescent="0.35">
      <c r="B13" s="230"/>
      <c r="C13" s="954" t="s">
        <v>181</v>
      </c>
      <c r="D13" s="955"/>
      <c r="E13" s="956"/>
      <c r="F13" s="954" t="s">
        <v>182</v>
      </c>
      <c r="G13" s="957"/>
      <c r="H13" s="958"/>
      <c r="I13" s="435" t="s">
        <v>183</v>
      </c>
      <c r="J13" s="435" t="s">
        <v>64</v>
      </c>
      <c r="K13" s="435" t="s">
        <v>184</v>
      </c>
      <c r="L13" s="962" t="s">
        <v>185</v>
      </c>
      <c r="M13" s="963"/>
      <c r="N13" s="963"/>
      <c r="O13" s="964"/>
      <c r="P13" s="119" t="s">
        <v>186</v>
      </c>
      <c r="Q13" s="119" t="s">
        <v>187</v>
      </c>
    </row>
    <row r="14" spans="1:17" ht="60" customHeight="1" thickBot="1" x14ac:dyDescent="0.35">
      <c r="A14" s="368" t="s">
        <v>2</v>
      </c>
      <c r="B14" s="361" t="s">
        <v>188</v>
      </c>
      <c r="C14" s="122" t="s">
        <v>189</v>
      </c>
      <c r="D14" s="43" t="s">
        <v>190</v>
      </c>
      <c r="E14" s="42" t="s">
        <v>191</v>
      </c>
      <c r="F14" s="41" t="s">
        <v>192</v>
      </c>
      <c r="G14" s="43" t="s">
        <v>193</v>
      </c>
      <c r="H14" s="42" t="s">
        <v>194</v>
      </c>
      <c r="I14" s="41" t="s">
        <v>195</v>
      </c>
      <c r="J14" s="41" t="s">
        <v>196</v>
      </c>
      <c r="K14" s="41" t="s">
        <v>197</v>
      </c>
      <c r="L14" s="436" t="s">
        <v>198</v>
      </c>
      <c r="M14" s="43" t="s">
        <v>199</v>
      </c>
      <c r="N14" s="437" t="s">
        <v>200</v>
      </c>
      <c r="O14" s="42" t="s">
        <v>189</v>
      </c>
      <c r="P14" s="118" t="s">
        <v>201</v>
      </c>
      <c r="Q14" s="118" t="s">
        <v>202</v>
      </c>
    </row>
    <row r="15" spans="1:17" ht="30" customHeight="1" x14ac:dyDescent="0.3">
      <c r="A15" s="367" t="str">
        <f>$E$1</f>
        <v>Unitil</v>
      </c>
      <c r="B15" s="362" t="s">
        <v>203</v>
      </c>
      <c r="C15" s="822">
        <f>COUNTIFS('3a. Feeder Status-2022'!$Q$15:$Q$71,"Full")</f>
        <v>22</v>
      </c>
      <c r="D15" s="823">
        <v>16</v>
      </c>
      <c r="E15" s="552">
        <f>COUNTIFS('3a. Feeder Status-2022'!$Q$15:$Q$71,"No")</f>
        <v>5</v>
      </c>
      <c r="F15" s="318">
        <v>0</v>
      </c>
      <c r="G15" s="316">
        <v>7</v>
      </c>
      <c r="H15" s="293">
        <v>36</v>
      </c>
      <c r="I15" s="318">
        <v>4</v>
      </c>
      <c r="J15" s="550">
        <f>COUNTIFS('3a. Feeder Status-2022'!$BO$15:$BO$71,"Y")</f>
        <v>4</v>
      </c>
      <c r="K15" s="325"/>
      <c r="L15" s="612" t="s">
        <v>383</v>
      </c>
      <c r="M15" s="613" t="s">
        <v>383</v>
      </c>
      <c r="N15" s="613" t="s">
        <v>383</v>
      </c>
      <c r="O15" s="258" t="s">
        <v>383</v>
      </c>
      <c r="P15" s="120"/>
      <c r="Q15" s="120"/>
    </row>
    <row r="16" spans="1:17" ht="30" customHeight="1" x14ac:dyDescent="0.3">
      <c r="A16" s="365" t="str">
        <f t="shared" ref="A16:A22" si="0">$E$1</f>
        <v>Unitil</v>
      </c>
      <c r="B16" s="363" t="s">
        <v>204</v>
      </c>
      <c r="C16" s="553">
        <f>C15/SUM($C15:$E15)</f>
        <v>0.51162790697674421</v>
      </c>
      <c r="D16" s="554">
        <f t="shared" ref="D16" si="1">D15/SUM($C15:$E15)</f>
        <v>0.37209302325581395</v>
      </c>
      <c r="E16" s="555">
        <f t="shared" ref="E16" si="2">E15/SUM($C15:$E15)</f>
        <v>0.11627906976744186</v>
      </c>
      <c r="F16" s="326">
        <f>F15/43</f>
        <v>0</v>
      </c>
      <c r="G16" s="327">
        <f>G15/43</f>
        <v>0.16279069767441862</v>
      </c>
      <c r="H16" s="328">
        <f>H15/43</f>
        <v>0.83720930232558144</v>
      </c>
      <c r="I16" s="326">
        <f>I15/43</f>
        <v>9.3023255813953487E-2</v>
      </c>
      <c r="J16" s="553">
        <f t="shared" ref="J16" si="3">J15/SUM($C15:$E15)</f>
        <v>9.3023255813953487E-2</v>
      </c>
      <c r="K16" s="330"/>
      <c r="L16" s="614" t="s">
        <v>383</v>
      </c>
      <c r="M16" s="615" t="s">
        <v>383</v>
      </c>
      <c r="N16" s="615" t="s">
        <v>383</v>
      </c>
      <c r="O16" s="616" t="s">
        <v>383</v>
      </c>
      <c r="P16" s="117"/>
      <c r="Q16" s="117"/>
    </row>
    <row r="17" spans="1:17" ht="30" customHeight="1" x14ac:dyDescent="0.3">
      <c r="A17" s="365" t="str">
        <f t="shared" si="0"/>
        <v>Unitil</v>
      </c>
      <c r="B17" s="363" t="s">
        <v>205</v>
      </c>
      <c r="C17" s="556">
        <f>SUMIFS('3a. Feeder Status-2022'!$M$15:$M$71,'3a. Feeder Status-2022'!$Q$15:$Q$71,"Full")</f>
        <v>20060</v>
      </c>
      <c r="D17" s="557">
        <f>SUMIFS('3a. Feeder Status-2022'!$M$15:$M$71,'3a. Feeder Status-2022'!$Q$15:$Q$71,"Partial")</f>
        <v>5494</v>
      </c>
      <c r="E17" s="558">
        <f>SUMIFS('3a. Feeder Status-2022'!$M$15:$M$71,'3a. Feeder Status-2022'!$Q$15:$Q$71,"No")</f>
        <v>5053</v>
      </c>
      <c r="F17" s="320">
        <f>SUMIFS('3a. Feeder Status-2022'!$M$15:$M$71,'3a. Feeder Status-2022'!$R$15:$R$71,"Full")</f>
        <v>2110</v>
      </c>
      <c r="G17" s="321">
        <f>SUMIFS('3a. Feeder Status-2022'!$M$15:$M$71,'3a. Feeder Status-2022'!$R$15:$R$71,"Partial")</f>
        <v>3934</v>
      </c>
      <c r="H17" s="294">
        <f>SUMIFS('3a. Feeder Status-2022'!$M$15:$M$71,'3a. Feeder Status-2022'!$R$15:$R$71,"No")</f>
        <v>24563</v>
      </c>
      <c r="I17" s="556">
        <f>SUM('3a. Feeder Status-2022'!M25:M27)</f>
        <v>2110</v>
      </c>
      <c r="J17" s="556">
        <f>SUMIFS('3a. Feeder Status-2022'!$M$15:$M$71,'3a. Feeder Status-2022'!$BO$15:$BO$71,"Y")</f>
        <v>2110</v>
      </c>
      <c r="K17" s="611" t="s">
        <v>383</v>
      </c>
      <c r="L17" s="617" t="s">
        <v>383</v>
      </c>
      <c r="M17" s="618" t="s">
        <v>383</v>
      </c>
      <c r="N17" s="618" t="s">
        <v>383</v>
      </c>
      <c r="O17" s="619" t="s">
        <v>383</v>
      </c>
      <c r="P17" s="117"/>
      <c r="Q17" s="117"/>
    </row>
    <row r="18" spans="1:17" ht="30" customHeight="1" x14ac:dyDescent="0.3">
      <c r="A18" s="365" t="str">
        <f t="shared" si="0"/>
        <v>Unitil</v>
      </c>
      <c r="B18" s="363" t="s">
        <v>206</v>
      </c>
      <c r="C18" s="553">
        <f>C17/SUM($C17:$E17)</f>
        <v>0.65540562616394937</v>
      </c>
      <c r="D18" s="554">
        <f t="shared" ref="D18:E18" si="4">D17/SUM($C17:$E17)</f>
        <v>0.17950142124350638</v>
      </c>
      <c r="E18" s="555">
        <f t="shared" si="4"/>
        <v>0.1650929525925442</v>
      </c>
      <c r="F18" s="326">
        <f>F17/30607</f>
        <v>6.8938478125918912E-2</v>
      </c>
      <c r="G18" s="327">
        <f t="shared" ref="G18:H18" si="5">G17/30607</f>
        <v>0.1285326886006469</v>
      </c>
      <c r="H18" s="328">
        <f t="shared" si="5"/>
        <v>0.80252883327343416</v>
      </c>
      <c r="I18" s="553">
        <f>I17/SUM(C17:E17)</f>
        <v>6.8938478125918912E-2</v>
      </c>
      <c r="J18" s="553">
        <f t="shared" ref="J18:J22" si="6">J17/SUM($C17:$E17)</f>
        <v>6.8938478125918912E-2</v>
      </c>
      <c r="K18" s="611" t="s">
        <v>383</v>
      </c>
      <c r="L18" s="614" t="s">
        <v>383</v>
      </c>
      <c r="M18" s="615" t="s">
        <v>383</v>
      </c>
      <c r="N18" s="615" t="s">
        <v>383</v>
      </c>
      <c r="O18" s="616" t="s">
        <v>383</v>
      </c>
      <c r="P18" s="117"/>
      <c r="Q18" s="117"/>
    </row>
    <row r="19" spans="1:17" ht="30" customHeight="1" x14ac:dyDescent="0.3">
      <c r="A19" s="365" t="str">
        <f t="shared" si="0"/>
        <v>Unitil</v>
      </c>
      <c r="B19" s="363" t="s">
        <v>207</v>
      </c>
      <c r="C19" s="556">
        <f>SUMIFS('3a. Feeder Status-2022'!$N$15:$N$71,'3a. Feeder Status-2022'!$Q$15:$Q$71,"Full")</f>
        <v>258063710.17023873</v>
      </c>
      <c r="D19" s="557">
        <f>SUMIFS('3a. Feeder Status-2022'!$N$15:$N$71,'3a. Feeder Status-2022'!$Q$15:$Q$71,"Partial")</f>
        <v>136839496.69572392</v>
      </c>
      <c r="E19" s="558">
        <f>SUMIFS('3a. Feeder Status-2022'!$N$15:$N$71,'3a. Feeder Status-2022'!$Q$15:$Q$71,"No")</f>
        <v>41547491.721617654</v>
      </c>
      <c r="F19" s="320">
        <f>SUMIFS('3a. Feeder Status-2022'!$N$15:$N$71,'3a. Feeder Status-2022'!$R$15:$R$71,"=Full")</f>
        <v>45883796.256239049</v>
      </c>
      <c r="G19" s="321">
        <f>SUMIFS('3a. Feeder Status-2022'!$N$15:$N$71,'3a. Feeder Status-2022'!$R$15:$R$71,"=Partial")</f>
        <v>59146780.916581213</v>
      </c>
      <c r="H19" s="294">
        <f>SUMIFS('3a. Feeder Status-2022'!$N$15:$N$71,'3a. Feeder Status-2022'!$R$15:$R$71,"No")</f>
        <v>331420121.41475999</v>
      </c>
      <c r="I19" s="556">
        <f>SUM('3a. Feeder Status-2022'!N25:N27)</f>
        <v>45883796.256239049</v>
      </c>
      <c r="J19" s="556">
        <f>SUMIFS('3a. Feeder Status-2022'!$N$15:$N$71,'3a. Feeder Status-2022'!$BO$15:$BO$71,"Y")</f>
        <v>45883796.256239049</v>
      </c>
      <c r="K19" s="324"/>
      <c r="L19" s="617" t="s">
        <v>383</v>
      </c>
      <c r="M19" s="618" t="s">
        <v>383</v>
      </c>
      <c r="N19" s="618" t="s">
        <v>383</v>
      </c>
      <c r="O19" s="619" t="s">
        <v>383</v>
      </c>
      <c r="P19" s="117"/>
      <c r="Q19" s="117"/>
    </row>
    <row r="20" spans="1:17" ht="30" customHeight="1" x14ac:dyDescent="0.3">
      <c r="A20" s="365" t="str">
        <f>$E$1</f>
        <v>Unitil</v>
      </c>
      <c r="B20" s="363" t="s">
        <v>208</v>
      </c>
      <c r="C20" s="553">
        <f>C19/SUM($C19:$E19)</f>
        <v>0.59127803210161312</v>
      </c>
      <c r="D20" s="554">
        <f t="shared" ref="D20" si="7">D19/SUM($C19:$E19)</f>
        <v>0.31352795891622354</v>
      </c>
      <c r="E20" s="555">
        <f t="shared" ref="E20" si="8">E19/SUM($C19:$E19)</f>
        <v>9.5194008982163514E-2</v>
      </c>
      <c r="F20" s="326">
        <f>F19/'3a. Feeder Status-2022'!$N$73</f>
        <v>5.5462189425879473E-2</v>
      </c>
      <c r="G20" s="327">
        <f>G19/'3a. Feeder Status-2022'!$N$73</f>
        <v>7.1493865695133427E-2</v>
      </c>
      <c r="H20" s="328">
        <f>H19/'3a. Feeder Status-2022'!$N$73</f>
        <v>0.4006051602793001</v>
      </c>
      <c r="I20" s="553">
        <f>I19/SUM(C19:E19)</f>
        <v>0.10512939125707869</v>
      </c>
      <c r="J20" s="553">
        <f t="shared" si="6"/>
        <v>0.10512939125707869</v>
      </c>
      <c r="K20" s="330"/>
      <c r="L20" s="614" t="s">
        <v>383</v>
      </c>
      <c r="M20" s="615" t="s">
        <v>383</v>
      </c>
      <c r="N20" s="615" t="s">
        <v>383</v>
      </c>
      <c r="O20" s="616" t="s">
        <v>383</v>
      </c>
      <c r="P20" s="117"/>
      <c r="Q20" s="117"/>
    </row>
    <row r="21" spans="1:17" ht="30" customHeight="1" x14ac:dyDescent="0.3">
      <c r="A21" s="365" t="str">
        <f t="shared" si="0"/>
        <v>Unitil</v>
      </c>
      <c r="B21" s="363" t="s">
        <v>209</v>
      </c>
      <c r="C21" s="556">
        <f>SUMIFS('3a. Feeder Status-2022'!$P$15:$P$71,'3a. Feeder Status-2022'!$Q$15:$Q$71,"Full")</f>
        <v>69.032000000000011</v>
      </c>
      <c r="D21" s="557">
        <f>SUMIFS('3a. Feeder Status-2022'!$P$15:$P$71,'3a. Feeder Status-2022'!$Q$15:$Q$71,"Partial")</f>
        <v>35.835000000000001</v>
      </c>
      <c r="E21" s="558">
        <f>SUMIFS('3a. Feeder Status-2022'!$P$15:$P$71,'3a. Feeder Status-2022'!$Q$15:$Q$71,"No")</f>
        <v>9.8939999999999984</v>
      </c>
      <c r="F21" s="320">
        <f>SUMIFS('3a. Feeder Status-2022'!$P$15:$P$71,'3a. Feeder Status-2022'!$R$15:$R$71,"=Full")</f>
        <v>10.606</v>
      </c>
      <c r="G21" s="321">
        <f>SUMIFS('3a. Feeder Status-2022'!$P$15:$P$71,'3a. Feeder Status-2022'!$R$15:$R$71,"=Partial")</f>
        <v>16.41</v>
      </c>
      <c r="H21" s="294">
        <f>SUMIFS('3a. Feeder Status-2022'!$P$15:$P$71,'3a. Feeder Status-2022'!$R$15:$R$71,"No")</f>
        <v>87.744999999999976</v>
      </c>
      <c r="I21" s="556">
        <f>SUM('3a. Feeder Status-2022'!P25:P27)</f>
        <v>10.606</v>
      </c>
      <c r="J21" s="602">
        <f>SUMIFS('3a. Feeder Status-2022'!$P$15:$P$71,'3a. Feeder Status-2022'!$BO$15:$BO$71,"Y")</f>
        <v>10.606</v>
      </c>
      <c r="K21" s="324"/>
      <c r="L21" s="617" t="s">
        <v>383</v>
      </c>
      <c r="M21" s="618" t="s">
        <v>383</v>
      </c>
      <c r="N21" s="618" t="s">
        <v>383</v>
      </c>
      <c r="O21" s="619" t="s">
        <v>383</v>
      </c>
      <c r="P21" s="117"/>
      <c r="Q21" s="117"/>
    </row>
    <row r="22" spans="1:17" ht="30" customHeight="1" thickBot="1" x14ac:dyDescent="0.35">
      <c r="A22" s="366" t="str">
        <f t="shared" si="0"/>
        <v>Unitil</v>
      </c>
      <c r="B22" s="364" t="s">
        <v>210</v>
      </c>
      <c r="C22" s="599">
        <f>C21/SUM($C21:$E21)</f>
        <v>0.60152839379231615</v>
      </c>
      <c r="D22" s="600">
        <f t="shared" ref="D22" si="9">D21/SUM($C21:$E21)</f>
        <v>0.31225764850428278</v>
      </c>
      <c r="E22" s="601">
        <f t="shared" ref="E22" si="10">E21/SUM($C21:$E21)</f>
        <v>8.6213957703400942E-2</v>
      </c>
      <c r="F22" s="333">
        <v>0</v>
      </c>
      <c r="G22" s="334">
        <v>0.23541098456792814</v>
      </c>
      <c r="H22" s="335">
        <v>0.76458901543207181</v>
      </c>
      <c r="I22" s="599">
        <f>I21/SUM(C21:E21)</f>
        <v>9.2418155993760923E-2</v>
      </c>
      <c r="J22" s="599">
        <f t="shared" si="6"/>
        <v>9.2418155993760923E-2</v>
      </c>
      <c r="K22" s="337"/>
      <c r="L22" s="620" t="s">
        <v>383</v>
      </c>
      <c r="M22" s="621" t="s">
        <v>383</v>
      </c>
      <c r="N22" s="621" t="s">
        <v>383</v>
      </c>
      <c r="O22" s="622" t="s">
        <v>383</v>
      </c>
      <c r="P22" s="263"/>
      <c r="Q22" s="263"/>
    </row>
    <row r="23" spans="1:17" ht="30" customHeight="1" thickBot="1" x14ac:dyDescent="0.35">
      <c r="B23" s="218"/>
      <c r="C23" s="218"/>
      <c r="D23" s="218"/>
      <c r="E23" s="218"/>
      <c r="F23" s="218"/>
      <c r="G23" s="218"/>
      <c r="H23" s="218"/>
      <c r="I23" s="218"/>
      <c r="J23" s="218"/>
      <c r="K23" s="218"/>
      <c r="L23" s="218"/>
      <c r="M23" s="218"/>
      <c r="N23" s="218"/>
      <c r="O23" s="262" t="s">
        <v>211</v>
      </c>
      <c r="P23" s="623" t="s">
        <v>383</v>
      </c>
      <c r="Q23" s="624">
        <v>0</v>
      </c>
    </row>
    <row r="24" spans="1:17" x14ac:dyDescent="0.3">
      <c r="A24" s="358" t="s">
        <v>212</v>
      </c>
      <c r="B24" s="218"/>
      <c r="C24" s="218"/>
      <c r="D24" s="218"/>
      <c r="E24" s="218"/>
      <c r="F24" s="218"/>
      <c r="G24" s="218"/>
      <c r="H24" s="218"/>
      <c r="I24" s="218"/>
      <c r="J24" s="218"/>
      <c r="K24" s="218"/>
      <c r="L24" s="123"/>
      <c r="M24" s="123"/>
      <c r="N24" s="123"/>
      <c r="O24" s="123"/>
      <c r="P24" s="123"/>
      <c r="Q24" s="123"/>
    </row>
    <row r="25" spans="1:17" x14ac:dyDescent="0.3">
      <c r="A25" s="172" t="s">
        <v>213</v>
      </c>
      <c r="B25" s="152"/>
      <c r="C25" s="173"/>
      <c r="D25" s="173"/>
      <c r="E25" s="173"/>
      <c r="F25" s="173"/>
      <c r="G25" s="173"/>
      <c r="H25" s="173"/>
      <c r="I25" s="174"/>
      <c r="J25" s="175"/>
      <c r="K25" s="371"/>
      <c r="L25" s="123"/>
      <c r="M25" s="123"/>
      <c r="N25" s="123"/>
      <c r="O25" s="123"/>
      <c r="P25" s="123"/>
      <c r="Q25" s="123"/>
    </row>
    <row r="26" spans="1:17" x14ac:dyDescent="0.3">
      <c r="A26" s="164" t="s">
        <v>214</v>
      </c>
      <c r="B26" s="158"/>
      <c r="C26" s="163"/>
      <c r="D26" s="163"/>
      <c r="E26" s="163"/>
      <c r="F26" s="163"/>
      <c r="G26" s="163"/>
      <c r="H26" s="163"/>
      <c r="I26" s="176"/>
      <c r="J26" s="177"/>
      <c r="K26" s="371"/>
      <c r="L26" s="123"/>
      <c r="M26" s="123"/>
      <c r="N26" s="123"/>
      <c r="O26" s="123"/>
      <c r="P26" s="123"/>
      <c r="Q26" s="123"/>
    </row>
    <row r="27" spans="1:17" x14ac:dyDescent="0.3">
      <c r="A27" s="164" t="s">
        <v>215</v>
      </c>
      <c r="B27" s="158"/>
      <c r="C27" s="163"/>
      <c r="D27" s="163"/>
      <c r="E27" s="163"/>
      <c r="F27" s="163"/>
      <c r="G27" s="163"/>
      <c r="H27" s="163"/>
      <c r="I27" s="176"/>
      <c r="J27" s="177"/>
      <c r="K27" s="371"/>
      <c r="L27" s="123"/>
      <c r="M27" s="123"/>
      <c r="N27" s="123"/>
      <c r="O27" s="123"/>
      <c r="P27" s="123"/>
      <c r="Q27" s="123"/>
    </row>
    <row r="28" spans="1:17" x14ac:dyDescent="0.3">
      <c r="A28" s="167" t="s">
        <v>216</v>
      </c>
      <c r="B28" s="168"/>
      <c r="C28" s="178"/>
      <c r="D28" s="178"/>
      <c r="E28" s="178"/>
      <c r="F28" s="178"/>
      <c r="G28" s="178"/>
      <c r="H28" s="178"/>
      <c r="I28" s="179"/>
      <c r="J28" s="180"/>
      <c r="K28" s="371"/>
      <c r="L28" s="123"/>
      <c r="M28" s="123"/>
      <c r="N28" s="123"/>
      <c r="O28" s="123"/>
      <c r="P28" s="123"/>
      <c r="Q28" s="123"/>
    </row>
    <row r="29" spans="1:17" x14ac:dyDescent="0.3">
      <c r="B29" s="138"/>
      <c r="C29" s="123"/>
      <c r="D29" s="123"/>
      <c r="E29" s="123"/>
      <c r="F29" s="123"/>
      <c r="G29" s="123"/>
      <c r="H29" s="123"/>
      <c r="I29" s="123"/>
      <c r="J29" s="123"/>
      <c r="K29" s="123"/>
      <c r="L29" s="123"/>
      <c r="M29" s="123"/>
      <c r="N29" s="123"/>
      <c r="O29" s="123"/>
      <c r="P29" s="123"/>
      <c r="Q29" s="123"/>
    </row>
  </sheetData>
  <mergeCells count="6">
    <mergeCell ref="C13:E13"/>
    <mergeCell ref="F13:H13"/>
    <mergeCell ref="L12:Q12"/>
    <mergeCell ref="L13:O13"/>
    <mergeCell ref="C12:H12"/>
    <mergeCell ref="I12:K12"/>
  </mergeCells>
  <pageMargins left="0.7" right="0.7" top="0.75" bottom="0.75" header="0.3" footer="0.3"/>
  <pageSetup scale="40" orientation="landscape" r:id="rId1"/>
  <colBreaks count="1" manualBreakCount="1">
    <brk id="7" max="1048575" man="1"/>
  </col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pageSetUpPr fitToPage="1"/>
  </sheetPr>
  <dimension ref="A1:Q29"/>
  <sheetViews>
    <sheetView showWhiteSpace="0" topLeftCell="A13" zoomScale="75" zoomScaleNormal="75" workbookViewId="0">
      <selection activeCell="C14" sqref="C14"/>
    </sheetView>
  </sheetViews>
  <sheetFormatPr defaultColWidth="8.6640625" defaultRowHeight="14.4" x14ac:dyDescent="0.3"/>
  <cols>
    <col min="1" max="1" width="23.33203125" style="123" customWidth="1"/>
    <col min="2" max="2" width="25.6640625" style="123" customWidth="1"/>
    <col min="3" max="10" width="15.6640625" style="123" customWidth="1"/>
    <col min="11" max="11" width="18" style="123" customWidth="1"/>
    <col min="12" max="17" width="15.6640625" style="123" customWidth="1"/>
    <col min="18" max="16384" width="8.6640625" style="123"/>
  </cols>
  <sheetData>
    <row r="1" spans="1:17" ht="28.8" x14ac:dyDescent="0.3">
      <c r="A1" s="1" t="s">
        <v>217</v>
      </c>
      <c r="B1" s="1" t="s">
        <v>170</v>
      </c>
      <c r="C1" s="139"/>
      <c r="D1" s="250" t="s">
        <v>2</v>
      </c>
      <c r="E1" s="250" t="s">
        <v>3</v>
      </c>
      <c r="H1" s="2"/>
    </row>
    <row r="2" spans="1:17" x14ac:dyDescent="0.3">
      <c r="A2" s="1"/>
      <c r="B2" s="1"/>
      <c r="C2" s="139"/>
      <c r="D2" s="250" t="s">
        <v>4</v>
      </c>
      <c r="E2" s="265">
        <v>2023</v>
      </c>
      <c r="H2" s="2"/>
    </row>
    <row r="3" spans="1:17" x14ac:dyDescent="0.3">
      <c r="B3" s="1"/>
      <c r="C3" s="5"/>
      <c r="D3" s="2"/>
    </row>
    <row r="4" spans="1:17" ht="15" customHeight="1" x14ac:dyDescent="0.3">
      <c r="A4" s="181" t="s">
        <v>171</v>
      </c>
      <c r="B4" s="152"/>
      <c r="C4" s="182"/>
      <c r="D4" s="182"/>
      <c r="E4" s="182"/>
      <c r="F4" s="182"/>
      <c r="G4" s="183"/>
      <c r="H4" s="229"/>
      <c r="I4" s="229"/>
    </row>
    <row r="5" spans="1:17" ht="15" customHeight="1" x14ac:dyDescent="0.3">
      <c r="A5" s="164" t="s">
        <v>172</v>
      </c>
      <c r="B5" s="158"/>
      <c r="C5" s="184"/>
      <c r="D5" s="184"/>
      <c r="E5" s="184"/>
      <c r="F5" s="184"/>
      <c r="G5" s="369"/>
      <c r="H5" s="229"/>
      <c r="I5" s="229"/>
    </row>
    <row r="6" spans="1:17" ht="15" customHeight="1" x14ac:dyDescent="0.3">
      <c r="A6" s="164" t="s">
        <v>173</v>
      </c>
      <c r="B6" s="158"/>
      <c r="C6" s="160"/>
      <c r="D6" s="185"/>
      <c r="E6" s="160"/>
      <c r="F6" s="160"/>
      <c r="G6" s="186"/>
      <c r="H6" s="170"/>
      <c r="I6" s="170"/>
    </row>
    <row r="7" spans="1:17" s="124" customFormat="1" ht="15" customHeight="1" x14ac:dyDescent="0.35">
      <c r="A7" s="164" t="s">
        <v>174</v>
      </c>
      <c r="B7" s="341"/>
      <c r="C7" s="187"/>
      <c r="D7" s="185"/>
      <c r="E7" s="187"/>
      <c r="F7" s="187"/>
      <c r="G7" s="370"/>
      <c r="H7" s="229"/>
      <c r="I7" s="229"/>
      <c r="J7" s="2"/>
      <c r="K7" s="2"/>
      <c r="L7" s="2"/>
      <c r="M7" s="2"/>
      <c r="N7" s="2"/>
      <c r="O7" s="2"/>
    </row>
    <row r="8" spans="1:17" ht="15" customHeight="1" x14ac:dyDescent="0.3">
      <c r="A8" s="164" t="s">
        <v>175</v>
      </c>
      <c r="B8" s="158"/>
      <c r="C8" s="159"/>
      <c r="D8" s="185"/>
      <c r="E8" s="159"/>
      <c r="F8" s="159"/>
      <c r="G8" s="165"/>
      <c r="H8" s="351"/>
      <c r="I8" s="351"/>
    </row>
    <row r="9" spans="1:17" ht="15" customHeight="1" x14ac:dyDescent="0.3">
      <c r="A9" s="164" t="s">
        <v>176</v>
      </c>
      <c r="B9" s="158"/>
      <c r="C9" s="160"/>
      <c r="D9" s="185"/>
      <c r="E9" s="160"/>
      <c r="F9" s="160"/>
      <c r="G9" s="186"/>
      <c r="H9" s="170"/>
      <c r="I9" s="170"/>
    </row>
    <row r="10" spans="1:17" ht="15" customHeight="1" x14ac:dyDescent="0.3">
      <c r="A10" s="167" t="s">
        <v>177</v>
      </c>
      <c r="B10" s="168"/>
      <c r="C10" s="171"/>
      <c r="D10" s="188"/>
      <c r="E10" s="171"/>
      <c r="F10" s="171"/>
      <c r="G10" s="189"/>
      <c r="H10" s="170"/>
      <c r="I10" s="170"/>
    </row>
    <row r="11" spans="1:17" ht="15" customHeight="1" thickBot="1" x14ac:dyDescent="0.35">
      <c r="B11" s="11"/>
      <c r="D11" s="11"/>
      <c r="E11" s="11"/>
      <c r="F11" s="11"/>
      <c r="G11" s="11"/>
      <c r="H11" s="11"/>
    </row>
    <row r="12" spans="1:17" ht="16.2" thickBot="1" x14ac:dyDescent="0.35">
      <c r="B12" s="229"/>
      <c r="C12" s="965" t="s">
        <v>178</v>
      </c>
      <c r="D12" s="966"/>
      <c r="E12" s="966"/>
      <c r="F12" s="966"/>
      <c r="G12" s="966"/>
      <c r="H12" s="967"/>
      <c r="I12" s="959" t="s">
        <v>179</v>
      </c>
      <c r="J12" s="960"/>
      <c r="K12" s="961"/>
      <c r="L12" s="959" t="s">
        <v>180</v>
      </c>
      <c r="M12" s="960"/>
      <c r="N12" s="960"/>
      <c r="O12" s="960"/>
      <c r="P12" s="960"/>
      <c r="Q12" s="961"/>
    </row>
    <row r="13" spans="1:17" ht="75" customHeight="1" thickBot="1" x14ac:dyDescent="0.35">
      <c r="B13" s="230"/>
      <c r="C13" s="954" t="s">
        <v>181</v>
      </c>
      <c r="D13" s="955"/>
      <c r="E13" s="956"/>
      <c r="F13" s="954" t="s">
        <v>182</v>
      </c>
      <c r="G13" s="957"/>
      <c r="H13" s="958"/>
      <c r="I13" s="435" t="s">
        <v>183</v>
      </c>
      <c r="J13" s="435" t="s">
        <v>64</v>
      </c>
      <c r="K13" s="435" t="s">
        <v>184</v>
      </c>
      <c r="L13" s="962" t="s">
        <v>185</v>
      </c>
      <c r="M13" s="963"/>
      <c r="N13" s="963"/>
      <c r="O13" s="964"/>
      <c r="P13" s="119" t="s">
        <v>186</v>
      </c>
      <c r="Q13" s="119" t="s">
        <v>187</v>
      </c>
    </row>
    <row r="14" spans="1:17" ht="60" customHeight="1" thickBot="1" x14ac:dyDescent="0.35">
      <c r="A14" s="368" t="s">
        <v>2</v>
      </c>
      <c r="B14" s="361" t="s">
        <v>188</v>
      </c>
      <c r="C14" s="122" t="s">
        <v>189</v>
      </c>
      <c r="D14" s="43" t="s">
        <v>190</v>
      </c>
      <c r="E14" s="42" t="s">
        <v>191</v>
      </c>
      <c r="F14" s="41" t="s">
        <v>192</v>
      </c>
      <c r="G14" s="43" t="s">
        <v>193</v>
      </c>
      <c r="H14" s="42" t="s">
        <v>194</v>
      </c>
      <c r="I14" s="41" t="s">
        <v>195</v>
      </c>
      <c r="J14" s="41" t="s">
        <v>196</v>
      </c>
      <c r="K14" s="41" t="s">
        <v>197</v>
      </c>
      <c r="L14" s="436" t="s">
        <v>198</v>
      </c>
      <c r="M14" s="43" t="s">
        <v>199</v>
      </c>
      <c r="N14" s="437" t="s">
        <v>200</v>
      </c>
      <c r="O14" s="42" t="s">
        <v>189</v>
      </c>
      <c r="P14" s="118" t="s">
        <v>201</v>
      </c>
      <c r="Q14" s="118" t="s">
        <v>202</v>
      </c>
    </row>
    <row r="15" spans="1:17" ht="30" customHeight="1" x14ac:dyDescent="0.3">
      <c r="A15" s="367" t="s">
        <v>69</v>
      </c>
      <c r="B15" s="362" t="s">
        <v>203</v>
      </c>
      <c r="C15" s="550">
        <f>COUNTIFS('3b. Feeder Status-2023'!$Q$15:$Q$71,"Full")</f>
        <v>29</v>
      </c>
      <c r="D15" s="551">
        <v>10</v>
      </c>
      <c r="E15" s="552">
        <f>COUNTIFS('3b. Feeder Status-2023'!$Q$15:$Q$71,"No")</f>
        <v>4</v>
      </c>
      <c r="F15" s="550">
        <f>COUNTIFS('3b. Feeder Status-2023'!$R$15:$R$71,"Full")</f>
        <v>7</v>
      </c>
      <c r="G15" s="316">
        <f>COUNTIFS('3b. Feeder Status-2023'!$R$15:$R$71,"Partial")</f>
        <v>2</v>
      </c>
      <c r="H15" s="293">
        <f>COUNTIFS('3b. Feeder Status-2023'!$R$15:$R$71,"No")</f>
        <v>34</v>
      </c>
      <c r="I15" s="318">
        <v>10</v>
      </c>
      <c r="J15" s="550">
        <f>COUNTIFS('3b. Feeder Status-2023'!$BO$15:$BO$71,"Y")</f>
        <v>10</v>
      </c>
      <c r="K15" s="325"/>
      <c r="L15" s="315"/>
      <c r="M15" s="316"/>
      <c r="N15" s="316"/>
      <c r="O15" s="317"/>
      <c r="P15" s="120"/>
      <c r="Q15" s="120"/>
    </row>
    <row r="16" spans="1:17" ht="30" customHeight="1" x14ac:dyDescent="0.3">
      <c r="A16" s="365" t="s">
        <v>69</v>
      </c>
      <c r="B16" s="363" t="s">
        <v>204</v>
      </c>
      <c r="C16" s="553">
        <f>C15/SUM($C15:$E15)</f>
        <v>0.67441860465116277</v>
      </c>
      <c r="D16" s="554">
        <f t="shared" ref="D16:H16" si="0">D15/SUM($C15:$E15)</f>
        <v>0.23255813953488372</v>
      </c>
      <c r="E16" s="555">
        <f t="shared" si="0"/>
        <v>9.3023255813953487E-2</v>
      </c>
      <c r="F16" s="825">
        <f>F15/SUM($C15:$E15)</f>
        <v>0.16279069767441862</v>
      </c>
      <c r="G16" s="826">
        <f t="shared" si="0"/>
        <v>4.6511627906976744E-2</v>
      </c>
      <c r="H16" s="827">
        <f t="shared" si="0"/>
        <v>0.79069767441860461</v>
      </c>
      <c r="I16" s="553">
        <f>I15/SUM(C15:E15)</f>
        <v>0.23255813953488372</v>
      </c>
      <c r="J16" s="553">
        <f t="shared" ref="J16" si="1">J15/SUM($C15:$E15)</f>
        <v>0.23255813953488372</v>
      </c>
      <c r="K16" s="330"/>
      <c r="L16" s="331"/>
      <c r="M16" s="327"/>
      <c r="N16" s="327"/>
      <c r="O16" s="332"/>
      <c r="P16" s="117"/>
      <c r="Q16" s="117"/>
    </row>
    <row r="17" spans="1:17" ht="30" customHeight="1" x14ac:dyDescent="0.3">
      <c r="A17" s="365" t="s">
        <v>69</v>
      </c>
      <c r="B17" s="363" t="s">
        <v>205</v>
      </c>
      <c r="C17" s="556">
        <f>SUMIFS('3b. Feeder Status-2023'!$M$15:$M$71,'3b. Feeder Status-2023'!$Q$15:$Q$71,"Full")</f>
        <v>23846</v>
      </c>
      <c r="D17" s="557">
        <f>SUMIFS('3b. Feeder Status-2023'!$M$15:$M$71,'3b. Feeder Status-2023'!$Q$15:$Q$71,"Partial")</f>
        <v>2599</v>
      </c>
      <c r="E17" s="558">
        <f>SUMIFS('3b. Feeder Status-2023'!$M$15:$M$71,'3b. Feeder Status-2023'!$Q$15:$Q$71,"No")</f>
        <v>4182</v>
      </c>
      <c r="F17" s="556">
        <f>SUMIFS('3b. Feeder Status-2023'!$M$15:$M$71,'3b. Feeder Status-2023'!$R$15:$R$71,"Full")</f>
        <v>6011</v>
      </c>
      <c r="G17" s="557">
        <f>SUMIFS('3b. Feeder Status-2023'!$M$15:$M$71,'3b. Feeder Status-2023'!$R$15:$R$71,"Partial")</f>
        <v>3109</v>
      </c>
      <c r="H17" s="558">
        <f>SUMIFS('3b. Feeder Status-2023'!$M$15:$M$71,'3b. Feeder Status-2023'!$R$15:$R$71,"No")</f>
        <v>21041</v>
      </c>
      <c r="I17" s="320">
        <f>SUM('3b. Feeder Status-2023'!M24:M27)+SUM('3b. Feeder Status-2023'!L59:L64)</f>
        <v>2151.1293002977081</v>
      </c>
      <c r="J17" s="556">
        <f>SUMIFS('3b. Feeder Status-2023'!$M$15:$M$71,'3b. Feeder Status-2023'!$BO$15:$BO$71,"Y")</f>
        <v>6011</v>
      </c>
      <c r="K17" s="320" t="s">
        <v>383</v>
      </c>
      <c r="L17" s="322"/>
      <c r="M17" s="321"/>
      <c r="N17" s="321"/>
      <c r="O17" s="323"/>
      <c r="P17" s="117"/>
      <c r="Q17" s="117"/>
    </row>
    <row r="18" spans="1:17" ht="30" customHeight="1" x14ac:dyDescent="0.3">
      <c r="A18" s="365" t="s">
        <v>69</v>
      </c>
      <c r="B18" s="363" t="s">
        <v>206</v>
      </c>
      <c r="C18" s="553">
        <f>C17/SUM($C17:$E17)</f>
        <v>0.77859405100075096</v>
      </c>
      <c r="D18" s="554">
        <f t="shared" ref="D18:E18" si="2">D17/SUM($C17:$E17)</f>
        <v>8.4859764260293208E-2</v>
      </c>
      <c r="E18" s="555">
        <f t="shared" si="2"/>
        <v>0.13654618473895583</v>
      </c>
      <c r="F18" s="553">
        <f>F17/SUM($F17:$H17)</f>
        <v>0.19929710553363617</v>
      </c>
      <c r="G18" s="554">
        <f t="shared" ref="G18:H18" si="3">G17/SUM($F17:$H17)</f>
        <v>0.10308013660024536</v>
      </c>
      <c r="H18" s="555">
        <f t="shared" si="3"/>
        <v>0.69762275786611849</v>
      </c>
      <c r="I18" s="553">
        <f>I17/SUM(C17:E17)</f>
        <v>7.0236369879443247E-2</v>
      </c>
      <c r="J18" s="553">
        <f t="shared" ref="J18:J22" si="4">J17/SUM($C17:$E17)</f>
        <v>0.19626473373167466</v>
      </c>
      <c r="K18" s="326" t="s">
        <v>383</v>
      </c>
      <c r="L18" s="331"/>
      <c r="M18" s="327"/>
      <c r="N18" s="327"/>
      <c r="O18" s="332"/>
      <c r="P18" s="117"/>
      <c r="Q18" s="117"/>
    </row>
    <row r="19" spans="1:17" ht="30" customHeight="1" x14ac:dyDescent="0.3">
      <c r="A19" s="365" t="s">
        <v>69</v>
      </c>
      <c r="B19" s="363" t="s">
        <v>207</v>
      </c>
      <c r="C19" s="556">
        <f>SUMIFS('3b. Feeder Status-2023'!$N$15:$N$71,'3b. Feeder Status-2023'!$Q$15:$Q$71,"Full")</f>
        <v>114222133.42210966</v>
      </c>
      <c r="D19" s="557">
        <f>SUMIFS('3b. Feeder Status-2023'!$N$15:$N$71,'3b. Feeder Status-2023'!$Q$15:$Q$71,"Partial")</f>
        <v>25549039.01846173</v>
      </c>
      <c r="E19" s="558">
        <f>SUMIFS('3b. Feeder Status-2023'!$N$15:$N$71,'3b. Feeder Status-2023'!$Q$15:$Q$71,"No")</f>
        <v>10525849.481237883</v>
      </c>
      <c r="F19" s="556">
        <f>SUMIFS('3b. Feeder Status-2023'!$N$15:$N$71,'3b. Feeder Status-2023'!$R$15:$R$71,"Full")</f>
        <v>36892435.720694691</v>
      </c>
      <c r="G19" s="557">
        <f>SUMIFS('3b. Feeder Status-2023'!$N$15:$N$71,'3b. Feeder Status-2023'!$R$15:$R$71,"Partial")</f>
        <v>13766313.611162061</v>
      </c>
      <c r="H19" s="558">
        <f>SUMIFS('3b. Feeder Status-2023'!$N$15:$N$71,'3b. Feeder Status-2023'!$R$15:$R$71,"No")</f>
        <v>97158490.750045508</v>
      </c>
      <c r="I19" s="320">
        <f>(SUM('3b. Feeder Status-2023'!N24:N27)+SUM('3b. Feeder Status-2023'!N59:N64))/1000</f>
        <v>36892.435720694695</v>
      </c>
      <c r="J19" s="556">
        <f>SUMIFS('3b. Feeder Status-2023'!$N$15:$N$71,'3b. Feeder Status-2023'!$BO$15:$BO$71,"Y")</f>
        <v>36892435.720694691</v>
      </c>
      <c r="K19" s="324"/>
      <c r="L19" s="322"/>
      <c r="M19" s="321"/>
      <c r="N19" s="321"/>
      <c r="O19" s="323"/>
      <c r="P19" s="117"/>
      <c r="Q19" s="117"/>
    </row>
    <row r="20" spans="1:17" ht="30" customHeight="1" x14ac:dyDescent="0.3">
      <c r="A20" s="365" t="s">
        <v>69</v>
      </c>
      <c r="B20" s="363" t="s">
        <v>208</v>
      </c>
      <c r="C20" s="553">
        <f>C19/SUM($C19:$E19)</f>
        <v>0.75997602588248714</v>
      </c>
      <c r="D20" s="554">
        <f t="shared" ref="D20:E20" si="5">D19/SUM($C19:$E19)</f>
        <v>0.16999032111064313</v>
      </c>
      <c r="E20" s="555">
        <f t="shared" si="5"/>
        <v>7.0033653006869714E-2</v>
      </c>
      <c r="F20" s="553">
        <f>F19/SUM($F19:$H19)</f>
        <v>0.24958141350936744</v>
      </c>
      <c r="G20" s="554">
        <f>G19/SUM($F19:$H19)</f>
        <v>9.3130636206808157E-2</v>
      </c>
      <c r="H20" s="555">
        <f>H19/SUM($F19:$H19)</f>
        <v>0.65728795028382436</v>
      </c>
      <c r="I20" s="553">
        <f>I19/SUM(C19:E19)</f>
        <v>2.4546351783262651E-4</v>
      </c>
      <c r="J20" s="553">
        <f t="shared" si="4"/>
        <v>0.24546351783262652</v>
      </c>
      <c r="K20" s="330"/>
      <c r="L20" s="331"/>
      <c r="M20" s="327"/>
      <c r="N20" s="327"/>
      <c r="O20" s="332"/>
      <c r="P20" s="117"/>
      <c r="Q20" s="117"/>
    </row>
    <row r="21" spans="1:17" ht="30" customHeight="1" x14ac:dyDescent="0.3">
      <c r="A21" s="365" t="s">
        <v>69</v>
      </c>
      <c r="B21" s="363" t="s">
        <v>209</v>
      </c>
      <c r="C21" s="556">
        <f>SUMIFS('3b. Feeder Status-2023'!$P$15:$P$71,'3b. Feeder Status-2023'!$Q$15:$Q$71,"Full")</f>
        <v>83.948999999999998</v>
      </c>
      <c r="D21" s="557">
        <f>SUMIFS('3b. Feeder Status-2023'!$P$15:$P$71,'3b. Feeder Status-2023'!$Q$15:$Q$71,"Partial")</f>
        <v>18.487000000000002</v>
      </c>
      <c r="E21" s="558">
        <f>SUMIFS('3b. Feeder Status-2023'!$P$15:$P$71,'3b. Feeder Status-2023'!$Q$15:$Q$71,"No")</f>
        <v>7.6949999999999994</v>
      </c>
      <c r="F21" s="556">
        <f>SUMIFS('3b. Feeder Status-2023'!$P$15:$P$71,'3b. Feeder Status-2023'!$R$15:$R$71,"Full")</f>
        <v>25.774999999999999</v>
      </c>
      <c r="G21" s="557">
        <f>SUMIFS('3b. Feeder Status-2023'!$P$15:$P$71,'3b. Feeder Status-2023'!$R$15:$R$71,"Partial")</f>
        <v>8.4390000000000001</v>
      </c>
      <c r="H21" s="558">
        <f>SUMIFS('3b. Feeder Status-2023'!$P$15:$P$71,'3b. Feeder Status-2023'!$R$15:$R$71,"No")</f>
        <v>73.230999999999995</v>
      </c>
      <c r="I21" s="320">
        <f>SUM('3b. Feeder Status-2023'!P24:P27)+SUM('3b. Feeder Status-2023'!P59:P64)</f>
        <v>25.775000000000002</v>
      </c>
      <c r="J21" s="602">
        <f>SUMIFS('3b. Feeder Status-2023'!$P$15:$P$71,'3b. Feeder Status-2023'!$BO$15:$BO$71,"Y")</f>
        <v>25.774999999999999</v>
      </c>
      <c r="K21" s="324"/>
      <c r="L21" s="322"/>
      <c r="M21" s="321"/>
      <c r="N21" s="321"/>
      <c r="O21" s="323"/>
      <c r="P21" s="117"/>
      <c r="Q21" s="117"/>
    </row>
    <row r="22" spans="1:17" ht="30" customHeight="1" thickBot="1" x14ac:dyDescent="0.35">
      <c r="A22" s="366" t="s">
        <v>69</v>
      </c>
      <c r="B22" s="364" t="s">
        <v>210</v>
      </c>
      <c r="C22" s="599">
        <f>C21/SUM($C21:$E21)</f>
        <v>0.76226493902715853</v>
      </c>
      <c r="D22" s="600">
        <f t="shared" ref="D22:E22" si="6">D21/SUM($C21:$E21)</f>
        <v>0.16786372592639676</v>
      </c>
      <c r="E22" s="601">
        <f t="shared" si="6"/>
        <v>6.9871335046444688E-2</v>
      </c>
      <c r="F22" s="599">
        <f>F21/SUM($F21:$H21)</f>
        <v>0.23989017636930524</v>
      </c>
      <c r="G22" s="600">
        <f t="shared" ref="G22:H22" si="7">G21/SUM($F21:$H21)</f>
        <v>7.8542510121457493E-2</v>
      </c>
      <c r="H22" s="601">
        <f t="shared" si="7"/>
        <v>0.68156731350923727</v>
      </c>
      <c r="I22" s="333">
        <f>I21/SUM(C21:E21)</f>
        <v>0.23403946209514126</v>
      </c>
      <c r="J22" s="599">
        <f t="shared" si="4"/>
        <v>0.23403946209514123</v>
      </c>
      <c r="K22" s="337"/>
      <c r="L22" s="338"/>
      <c r="M22" s="334"/>
      <c r="N22" s="334"/>
      <c r="O22" s="339"/>
      <c r="P22" s="263"/>
      <c r="Q22" s="263"/>
    </row>
    <row r="23" spans="1:17" ht="30" customHeight="1" thickBot="1" x14ac:dyDescent="0.35">
      <c r="B23" s="218"/>
      <c r="C23" s="218"/>
      <c r="D23" s="218"/>
      <c r="E23" s="218"/>
      <c r="F23" s="218"/>
      <c r="G23" s="218"/>
      <c r="H23" s="218"/>
      <c r="I23" s="218"/>
      <c r="J23" s="218"/>
      <c r="K23" s="218"/>
      <c r="L23" s="218"/>
      <c r="M23" s="218"/>
      <c r="N23" s="218"/>
      <c r="O23" s="262" t="s">
        <v>211</v>
      </c>
      <c r="P23" s="313"/>
      <c r="Q23" s="314"/>
    </row>
    <row r="24" spans="1:17" x14ac:dyDescent="0.3">
      <c r="A24" s="358" t="s">
        <v>212</v>
      </c>
      <c r="B24" s="218"/>
      <c r="C24" s="218"/>
      <c r="D24" s="218"/>
      <c r="E24" s="218"/>
      <c r="F24" s="218"/>
      <c r="G24" s="218"/>
      <c r="H24" s="218"/>
      <c r="I24" s="218"/>
      <c r="J24" s="218"/>
      <c r="K24" s="218"/>
    </row>
    <row r="25" spans="1:17" x14ac:dyDescent="0.3">
      <c r="A25" s="172" t="s">
        <v>213</v>
      </c>
      <c r="B25" s="152"/>
      <c r="C25" s="173"/>
      <c r="D25" s="173"/>
      <c r="E25" s="173"/>
      <c r="F25" s="173"/>
      <c r="G25" s="173"/>
      <c r="H25" s="173"/>
      <c r="I25" s="174"/>
      <c r="J25" s="175"/>
      <c r="K25" s="371"/>
    </row>
    <row r="26" spans="1:17" x14ac:dyDescent="0.3">
      <c r="A26" s="164" t="s">
        <v>214</v>
      </c>
      <c r="B26" s="158"/>
      <c r="C26" s="163"/>
      <c r="D26" s="163"/>
      <c r="E26" s="163"/>
      <c r="F26" s="163"/>
      <c r="G26" s="163"/>
      <c r="H26" s="163"/>
      <c r="I26" s="176"/>
      <c r="J26" s="177"/>
      <c r="K26" s="371"/>
    </row>
    <row r="27" spans="1:17" x14ac:dyDescent="0.3">
      <c r="A27" s="164" t="s">
        <v>215</v>
      </c>
      <c r="B27" s="158"/>
      <c r="C27" s="163"/>
      <c r="D27" s="163"/>
      <c r="E27" s="163"/>
      <c r="F27" s="163"/>
      <c r="G27" s="163"/>
      <c r="H27" s="163"/>
      <c r="I27" s="176"/>
      <c r="J27" s="177"/>
      <c r="K27" s="371"/>
    </row>
    <row r="28" spans="1:17" x14ac:dyDescent="0.3">
      <c r="A28" s="167" t="s">
        <v>216</v>
      </c>
      <c r="B28" s="168"/>
      <c r="C28" s="178"/>
      <c r="D28" s="178"/>
      <c r="E28" s="178"/>
      <c r="F28" s="178"/>
      <c r="G28" s="178"/>
      <c r="H28" s="178"/>
      <c r="I28" s="179"/>
      <c r="J28" s="180"/>
      <c r="K28" s="371"/>
    </row>
    <row r="29" spans="1:17" x14ac:dyDescent="0.3">
      <c r="B29" s="138"/>
    </row>
  </sheetData>
  <mergeCells count="6">
    <mergeCell ref="C12:H12"/>
    <mergeCell ref="I12:K12"/>
    <mergeCell ref="L12:Q12"/>
    <mergeCell ref="C13:E13"/>
    <mergeCell ref="F13:H13"/>
    <mergeCell ref="L13:O13"/>
  </mergeCells>
  <pageMargins left="0.7" right="0.7" top="0.75" bottom="0.75" header="0.3" footer="0.3"/>
  <pageSetup scale="40" orientation="landscape" r:id="rId1"/>
  <colBreaks count="1" manualBreakCount="1">
    <brk id="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29"/>
  <sheetViews>
    <sheetView showWhiteSpace="0" zoomScaleNormal="100" workbookViewId="0">
      <selection activeCell="S57" sqref="S57"/>
    </sheetView>
  </sheetViews>
  <sheetFormatPr defaultColWidth="8.6640625" defaultRowHeight="14.4" x14ac:dyDescent="0.3"/>
  <cols>
    <col min="1" max="1" width="23.33203125" style="123" customWidth="1"/>
    <col min="2" max="2" width="25.6640625" style="123" customWidth="1"/>
    <col min="3" max="4" width="15.6640625" style="123" customWidth="1"/>
    <col min="5" max="5" width="22.33203125" style="123" bestFit="1" customWidth="1"/>
    <col min="6" max="6" width="23.44140625" style="123" bestFit="1" customWidth="1"/>
    <col min="7" max="10" width="15.6640625" style="123" customWidth="1"/>
    <col min="11" max="11" width="18" style="123" customWidth="1"/>
    <col min="12" max="17" width="15.6640625" style="123" customWidth="1"/>
    <col min="18" max="16384" width="8.6640625" style="123"/>
  </cols>
  <sheetData>
    <row r="1" spans="1:17" x14ac:dyDescent="0.3">
      <c r="A1" s="1" t="s">
        <v>218</v>
      </c>
      <c r="B1" s="1" t="s">
        <v>170</v>
      </c>
      <c r="C1" s="139"/>
      <c r="D1" s="250" t="s">
        <v>2</v>
      </c>
      <c r="E1" s="250" t="s">
        <v>3</v>
      </c>
      <c r="H1" s="2"/>
    </row>
    <row r="2" spans="1:17" x14ac:dyDescent="0.3">
      <c r="A2" s="1"/>
      <c r="B2" s="1"/>
      <c r="C2" s="139"/>
      <c r="D2" s="250" t="s">
        <v>4</v>
      </c>
      <c r="E2" s="265">
        <v>2024</v>
      </c>
      <c r="H2" s="2"/>
    </row>
    <row r="3" spans="1:17" x14ac:dyDescent="0.3">
      <c r="B3" s="1"/>
      <c r="C3" s="5"/>
      <c r="D3" s="2"/>
    </row>
    <row r="4" spans="1:17" ht="15" customHeight="1" x14ac:dyDescent="0.3">
      <c r="A4" s="181" t="s">
        <v>171</v>
      </c>
      <c r="B4" s="152"/>
      <c r="C4" s="182"/>
      <c r="D4" s="182"/>
      <c r="E4" s="182"/>
      <c r="F4" s="182"/>
      <c r="G4" s="183"/>
      <c r="H4" s="229"/>
      <c r="I4" s="229"/>
    </row>
    <row r="5" spans="1:17" ht="15" customHeight="1" x14ac:dyDescent="0.3">
      <c r="A5" s="164" t="s">
        <v>172</v>
      </c>
      <c r="B5" s="158"/>
      <c r="C5" s="184"/>
      <c r="D5" s="184"/>
      <c r="E5" s="184"/>
      <c r="F5" s="184"/>
      <c r="G5" s="369"/>
      <c r="H5" s="229"/>
      <c r="I5" s="229"/>
    </row>
    <row r="6" spans="1:17" ht="15" customHeight="1" x14ac:dyDescent="0.3">
      <c r="A6" s="164" t="s">
        <v>173</v>
      </c>
      <c r="B6" s="158"/>
      <c r="C6" s="160"/>
      <c r="D6" s="185"/>
      <c r="E6" s="160"/>
      <c r="F6" s="160"/>
      <c r="G6" s="186"/>
      <c r="H6" s="170"/>
      <c r="I6" s="170"/>
    </row>
    <row r="7" spans="1:17" s="124" customFormat="1" ht="15" customHeight="1" x14ac:dyDescent="0.35">
      <c r="A7" s="164" t="s">
        <v>174</v>
      </c>
      <c r="B7" s="341"/>
      <c r="C7" s="187"/>
      <c r="D7" s="185"/>
      <c r="E7" s="187"/>
      <c r="F7" s="187"/>
      <c r="G7" s="370"/>
      <c r="H7" s="229"/>
      <c r="I7" s="229"/>
      <c r="J7" s="2"/>
      <c r="K7" s="2"/>
      <c r="L7" s="2"/>
      <c r="M7" s="2"/>
      <c r="N7" s="2"/>
      <c r="O7" s="2"/>
    </row>
    <row r="8" spans="1:17" ht="15" customHeight="1" x14ac:dyDescent="0.3">
      <c r="A8" s="164" t="s">
        <v>175</v>
      </c>
      <c r="B8" s="158"/>
      <c r="C8" s="159"/>
      <c r="D8" s="185"/>
      <c r="E8" s="159"/>
      <c r="F8" s="159"/>
      <c r="G8" s="165"/>
      <c r="H8" s="351"/>
      <c r="I8" s="351"/>
    </row>
    <row r="9" spans="1:17" ht="15" customHeight="1" x14ac:dyDescent="0.3">
      <c r="A9" s="164" t="s">
        <v>176</v>
      </c>
      <c r="B9" s="158"/>
      <c r="C9" s="160"/>
      <c r="D9" s="185"/>
      <c r="E9" s="160"/>
      <c r="F9" s="160"/>
      <c r="G9" s="186"/>
      <c r="H9" s="170"/>
      <c r="I9" s="170"/>
    </row>
    <row r="10" spans="1:17" ht="15" customHeight="1" x14ac:dyDescent="0.3">
      <c r="A10" s="167" t="s">
        <v>177</v>
      </c>
      <c r="B10" s="168"/>
      <c r="C10" s="171"/>
      <c r="D10" s="188"/>
      <c r="E10" s="171"/>
      <c r="F10" s="171"/>
      <c r="G10" s="189"/>
      <c r="H10" s="170"/>
      <c r="I10" s="170"/>
    </row>
    <row r="11" spans="1:17" ht="15" customHeight="1" thickBot="1" x14ac:dyDescent="0.35">
      <c r="B11" s="11"/>
      <c r="D11" s="11"/>
      <c r="E11" s="11"/>
      <c r="F11" s="11"/>
      <c r="G11" s="11"/>
      <c r="H11" s="11"/>
    </row>
    <row r="12" spans="1:17" ht="16.2" thickBot="1" x14ac:dyDescent="0.35">
      <c r="B12" s="229"/>
      <c r="C12" s="965" t="s">
        <v>178</v>
      </c>
      <c r="D12" s="966"/>
      <c r="E12" s="966"/>
      <c r="F12" s="966"/>
      <c r="G12" s="966"/>
      <c r="H12" s="967"/>
      <c r="I12" s="959" t="s">
        <v>179</v>
      </c>
      <c r="J12" s="960"/>
      <c r="K12" s="961"/>
      <c r="L12" s="959" t="s">
        <v>180</v>
      </c>
      <c r="M12" s="960"/>
      <c r="N12" s="960"/>
      <c r="O12" s="960"/>
      <c r="P12" s="960"/>
      <c r="Q12" s="961"/>
    </row>
    <row r="13" spans="1:17" ht="75" customHeight="1" thickBot="1" x14ac:dyDescent="0.35">
      <c r="B13" s="230"/>
      <c r="C13" s="954" t="s">
        <v>181</v>
      </c>
      <c r="D13" s="955"/>
      <c r="E13" s="956"/>
      <c r="F13" s="954" t="s">
        <v>182</v>
      </c>
      <c r="G13" s="957"/>
      <c r="H13" s="958"/>
      <c r="I13" s="435" t="s">
        <v>183</v>
      </c>
      <c r="J13" s="435" t="s">
        <v>64</v>
      </c>
      <c r="K13" s="435" t="s">
        <v>184</v>
      </c>
      <c r="L13" s="962" t="s">
        <v>185</v>
      </c>
      <c r="M13" s="963"/>
      <c r="N13" s="963"/>
      <c r="O13" s="964"/>
      <c r="P13" s="119" t="s">
        <v>186</v>
      </c>
      <c r="Q13" s="119" t="s">
        <v>187</v>
      </c>
    </row>
    <row r="14" spans="1:17" ht="60" customHeight="1" thickBot="1" x14ac:dyDescent="0.35">
      <c r="A14" s="368" t="s">
        <v>2</v>
      </c>
      <c r="B14" s="361" t="s">
        <v>188</v>
      </c>
      <c r="C14" s="122" t="s">
        <v>189</v>
      </c>
      <c r="D14" s="43" t="s">
        <v>190</v>
      </c>
      <c r="E14" s="42" t="s">
        <v>191</v>
      </c>
      <c r="F14" s="41" t="s">
        <v>192</v>
      </c>
      <c r="G14" s="43" t="s">
        <v>193</v>
      </c>
      <c r="H14" s="42" t="s">
        <v>194</v>
      </c>
      <c r="I14" s="41" t="s">
        <v>195</v>
      </c>
      <c r="J14" s="41" t="s">
        <v>196</v>
      </c>
      <c r="K14" s="41" t="s">
        <v>197</v>
      </c>
      <c r="L14" s="436" t="s">
        <v>198</v>
      </c>
      <c r="M14" s="43" t="s">
        <v>199</v>
      </c>
      <c r="N14" s="437" t="s">
        <v>200</v>
      </c>
      <c r="O14" s="42" t="s">
        <v>189</v>
      </c>
      <c r="P14" s="118" t="s">
        <v>201</v>
      </c>
      <c r="Q14" s="118" t="s">
        <v>202</v>
      </c>
    </row>
    <row r="15" spans="1:17" ht="30" customHeight="1" x14ac:dyDescent="0.3">
      <c r="A15" s="367" t="str">
        <f>$E$1</f>
        <v>[Enter Company Name]</v>
      </c>
      <c r="B15" s="362" t="s">
        <v>203</v>
      </c>
      <c r="C15" s="318"/>
      <c r="D15" s="316"/>
      <c r="E15" s="293"/>
      <c r="F15" s="319"/>
      <c r="G15" s="316"/>
      <c r="H15" s="293"/>
      <c r="I15" s="318"/>
      <c r="J15" s="318"/>
      <c r="K15" s="325"/>
      <c r="L15" s="315"/>
      <c r="M15" s="316"/>
      <c r="N15" s="316"/>
      <c r="O15" s="317"/>
      <c r="P15" s="120"/>
      <c r="Q15" s="120"/>
    </row>
    <row r="16" spans="1:17" ht="30" customHeight="1" x14ac:dyDescent="0.3">
      <c r="A16" s="365" t="str">
        <f t="shared" ref="A16:A22" si="0">$E$1</f>
        <v>[Enter Company Name]</v>
      </c>
      <c r="B16" s="363" t="s">
        <v>204</v>
      </c>
      <c r="C16" s="326"/>
      <c r="D16" s="327"/>
      <c r="E16" s="328"/>
      <c r="F16" s="329"/>
      <c r="G16" s="329"/>
      <c r="H16" s="329"/>
      <c r="I16" s="326"/>
      <c r="J16" s="326"/>
      <c r="K16" s="330"/>
      <c r="L16" s="331"/>
      <c r="M16" s="327"/>
      <c r="N16" s="327"/>
      <c r="O16" s="332"/>
      <c r="P16" s="117"/>
      <c r="Q16" s="117"/>
    </row>
    <row r="17" spans="1:17" ht="30" customHeight="1" x14ac:dyDescent="0.3">
      <c r="A17" s="365" t="str">
        <f t="shared" si="0"/>
        <v>[Enter Company Name]</v>
      </c>
      <c r="B17" s="363" t="s">
        <v>205</v>
      </c>
      <c r="C17" s="320"/>
      <c r="D17" s="321"/>
      <c r="E17" s="294"/>
      <c r="F17" s="320"/>
      <c r="G17" s="321"/>
      <c r="H17" s="294"/>
      <c r="I17" s="320"/>
      <c r="J17" s="320"/>
      <c r="K17" s="320"/>
      <c r="L17" s="322"/>
      <c r="M17" s="321"/>
      <c r="N17" s="321"/>
      <c r="O17" s="323"/>
      <c r="P17" s="117"/>
      <c r="Q17" s="117"/>
    </row>
    <row r="18" spans="1:17" ht="30" customHeight="1" x14ac:dyDescent="0.3">
      <c r="A18" s="365" t="str">
        <f t="shared" si="0"/>
        <v>[Enter Company Name]</v>
      </c>
      <c r="B18" s="363" t="s">
        <v>206</v>
      </c>
      <c r="C18" s="326"/>
      <c r="D18" s="327"/>
      <c r="E18" s="328"/>
      <c r="F18" s="329"/>
      <c r="G18" s="327"/>
      <c r="H18" s="328"/>
      <c r="I18" s="326"/>
      <c r="J18" s="326"/>
      <c r="K18" s="326"/>
      <c r="L18" s="331"/>
      <c r="M18" s="327"/>
      <c r="N18" s="327"/>
      <c r="O18" s="332"/>
      <c r="P18" s="117"/>
      <c r="Q18" s="117"/>
    </row>
    <row r="19" spans="1:17" ht="30" customHeight="1" x14ac:dyDescent="0.3">
      <c r="A19" s="365" t="str">
        <f t="shared" si="0"/>
        <v>[Enter Company Name]</v>
      </c>
      <c r="B19" s="363" t="s">
        <v>207</v>
      </c>
      <c r="C19" s="320"/>
      <c r="D19" s="321"/>
      <c r="E19" s="294"/>
      <c r="F19" s="320"/>
      <c r="G19" s="321"/>
      <c r="H19" s="294"/>
      <c r="I19" s="320"/>
      <c r="J19" s="320"/>
      <c r="K19" s="324"/>
      <c r="L19" s="322"/>
      <c r="M19" s="321"/>
      <c r="N19" s="321"/>
      <c r="O19" s="323"/>
      <c r="P19" s="117"/>
      <c r="Q19" s="117"/>
    </row>
    <row r="20" spans="1:17" ht="30" customHeight="1" x14ac:dyDescent="0.3">
      <c r="A20" s="365" t="str">
        <f t="shared" si="0"/>
        <v>[Enter Company Name]</v>
      </c>
      <c r="B20" s="363" t="s">
        <v>208</v>
      </c>
      <c r="C20" s="326"/>
      <c r="D20" s="327"/>
      <c r="E20" s="328"/>
      <c r="F20" s="329"/>
      <c r="G20" s="327"/>
      <c r="H20" s="328"/>
      <c r="I20" s="326"/>
      <c r="J20" s="326"/>
      <c r="K20" s="330"/>
      <c r="L20" s="331"/>
      <c r="M20" s="327"/>
      <c r="N20" s="327"/>
      <c r="O20" s="332"/>
      <c r="P20" s="117"/>
      <c r="Q20" s="117"/>
    </row>
    <row r="21" spans="1:17" ht="30" customHeight="1" x14ac:dyDescent="0.3">
      <c r="A21" s="365" t="str">
        <f t="shared" si="0"/>
        <v>[Enter Company Name]</v>
      </c>
      <c r="B21" s="363" t="s">
        <v>209</v>
      </c>
      <c r="C21" s="320"/>
      <c r="D21" s="321"/>
      <c r="E21" s="294"/>
      <c r="F21" s="320"/>
      <c r="G21" s="321"/>
      <c r="H21" s="294"/>
      <c r="I21" s="320"/>
      <c r="J21" s="320"/>
      <c r="K21" s="324"/>
      <c r="L21" s="322"/>
      <c r="M21" s="321"/>
      <c r="N21" s="321"/>
      <c r="O21" s="323"/>
      <c r="P21" s="117"/>
      <c r="Q21" s="117"/>
    </row>
    <row r="22" spans="1:17" ht="30" customHeight="1" thickBot="1" x14ac:dyDescent="0.35">
      <c r="A22" s="366" t="str">
        <f t="shared" si="0"/>
        <v>[Enter Company Name]</v>
      </c>
      <c r="B22" s="364" t="s">
        <v>210</v>
      </c>
      <c r="C22" s="333"/>
      <c r="D22" s="334"/>
      <c r="E22" s="335"/>
      <c r="F22" s="336"/>
      <c r="G22" s="334"/>
      <c r="H22" s="335"/>
      <c r="I22" s="333"/>
      <c r="J22" s="333"/>
      <c r="K22" s="337"/>
      <c r="L22" s="338"/>
      <c r="M22" s="334"/>
      <c r="N22" s="334"/>
      <c r="O22" s="339"/>
      <c r="P22" s="263"/>
      <c r="Q22" s="263"/>
    </row>
    <row r="23" spans="1:17" ht="30" customHeight="1" thickBot="1" x14ac:dyDescent="0.35">
      <c r="B23" s="218"/>
      <c r="C23" s="218"/>
      <c r="D23" s="218"/>
      <c r="E23" s="218"/>
      <c r="F23" s="218"/>
      <c r="G23" s="218"/>
      <c r="H23" s="218"/>
      <c r="I23" s="218"/>
      <c r="J23" s="218"/>
      <c r="K23" s="218"/>
      <c r="L23" s="218"/>
      <c r="M23" s="218"/>
      <c r="N23" s="218"/>
      <c r="O23" s="262" t="s">
        <v>211</v>
      </c>
      <c r="P23" s="313"/>
      <c r="Q23" s="314"/>
    </row>
    <row r="24" spans="1:17" x14ac:dyDescent="0.3">
      <c r="A24" s="358" t="s">
        <v>212</v>
      </c>
      <c r="B24" s="218"/>
      <c r="C24" s="218"/>
      <c r="D24" s="218"/>
      <c r="E24" s="218"/>
      <c r="F24" s="218"/>
      <c r="G24" s="218"/>
      <c r="H24" s="218"/>
      <c r="I24" s="218"/>
      <c r="J24" s="218"/>
      <c r="K24" s="218"/>
    </row>
    <row r="25" spans="1:17" x14ac:dyDescent="0.3">
      <c r="A25" s="172" t="s">
        <v>213</v>
      </c>
      <c r="B25" s="152"/>
      <c r="C25" s="173"/>
      <c r="D25" s="173"/>
      <c r="E25" s="173"/>
      <c r="F25" s="173"/>
      <c r="G25" s="173"/>
      <c r="H25" s="173"/>
      <c r="I25" s="174"/>
      <c r="J25" s="175"/>
      <c r="K25" s="371"/>
    </row>
    <row r="26" spans="1:17" x14ac:dyDescent="0.3">
      <c r="A26" s="164" t="s">
        <v>214</v>
      </c>
      <c r="B26" s="158"/>
      <c r="C26" s="163"/>
      <c r="D26" s="163"/>
      <c r="E26" s="163"/>
      <c r="F26" s="163"/>
      <c r="G26" s="163"/>
      <c r="H26" s="163"/>
      <c r="I26" s="176"/>
      <c r="J26" s="177"/>
      <c r="K26" s="371"/>
    </row>
    <row r="27" spans="1:17" x14ac:dyDescent="0.3">
      <c r="A27" s="164" t="s">
        <v>215</v>
      </c>
      <c r="B27" s="158"/>
      <c r="C27" s="163"/>
      <c r="D27" s="163"/>
      <c r="E27" s="163"/>
      <c r="F27" s="163"/>
      <c r="G27" s="163"/>
      <c r="H27" s="163"/>
      <c r="I27" s="176"/>
      <c r="J27" s="177"/>
      <c r="K27" s="371"/>
    </row>
    <row r="28" spans="1:17" x14ac:dyDescent="0.3">
      <c r="A28" s="167" t="s">
        <v>216</v>
      </c>
      <c r="B28" s="168"/>
      <c r="C28" s="178"/>
      <c r="D28" s="178"/>
      <c r="E28" s="178"/>
      <c r="F28" s="178"/>
      <c r="G28" s="178"/>
      <c r="H28" s="178"/>
      <c r="I28" s="179"/>
      <c r="J28" s="180"/>
      <c r="K28" s="371"/>
    </row>
    <row r="29" spans="1:17" x14ac:dyDescent="0.3">
      <c r="B29" s="138"/>
    </row>
  </sheetData>
  <mergeCells count="6">
    <mergeCell ref="C12:H12"/>
    <mergeCell ref="I12:K12"/>
    <mergeCell ref="L12:Q12"/>
    <mergeCell ref="C13:E13"/>
    <mergeCell ref="F13:H13"/>
    <mergeCell ref="L13:O13"/>
  </mergeCells>
  <pageMargins left="0.7" right="0.7" top="0.75" bottom="0.75" header="0.3" footer="0.3"/>
  <pageSetup scale="40" orientation="landscape" r:id="rId1"/>
  <colBreaks count="1" manualBreakCount="1">
    <brk id="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29"/>
  <sheetViews>
    <sheetView showWhiteSpace="0" zoomScaleNormal="100" workbookViewId="0">
      <selection activeCell="S57" sqref="S57"/>
    </sheetView>
  </sheetViews>
  <sheetFormatPr defaultColWidth="8.6640625" defaultRowHeight="14.4" x14ac:dyDescent="0.3"/>
  <cols>
    <col min="1" max="1" width="23.33203125" style="123" customWidth="1"/>
    <col min="2" max="2" width="25.6640625" style="123" customWidth="1"/>
    <col min="3" max="4" width="15.6640625" style="123" customWidth="1"/>
    <col min="5" max="5" width="22.33203125" style="123" bestFit="1" customWidth="1"/>
    <col min="6" max="6" width="23.44140625" style="123" bestFit="1" customWidth="1"/>
    <col min="7" max="10" width="15.6640625" style="123" customWidth="1"/>
    <col min="11" max="11" width="18" style="123" customWidth="1"/>
    <col min="12" max="17" width="15.6640625" style="123" customWidth="1"/>
    <col min="18" max="16384" width="8.6640625" style="123"/>
  </cols>
  <sheetData>
    <row r="1" spans="1:17" x14ac:dyDescent="0.3">
      <c r="A1" s="1" t="s">
        <v>219</v>
      </c>
      <c r="B1" s="1" t="s">
        <v>170</v>
      </c>
      <c r="C1" s="139"/>
      <c r="D1" s="250" t="s">
        <v>2</v>
      </c>
      <c r="E1" s="250" t="s">
        <v>3</v>
      </c>
      <c r="H1" s="2"/>
    </row>
    <row r="2" spans="1:17" x14ac:dyDescent="0.3">
      <c r="A2" s="1"/>
      <c r="B2" s="1"/>
      <c r="C2" s="139"/>
      <c r="D2" s="250" t="s">
        <v>4</v>
      </c>
      <c r="E2" s="265">
        <v>2025</v>
      </c>
      <c r="H2" s="2"/>
    </row>
    <row r="3" spans="1:17" x14ac:dyDescent="0.3">
      <c r="B3" s="1"/>
      <c r="C3" s="5"/>
      <c r="D3" s="2"/>
    </row>
    <row r="4" spans="1:17" ht="15" customHeight="1" x14ac:dyDescent="0.3">
      <c r="A4" s="181" t="s">
        <v>171</v>
      </c>
      <c r="B4" s="152"/>
      <c r="C4" s="182"/>
      <c r="D4" s="182"/>
      <c r="E4" s="182"/>
      <c r="F4" s="182"/>
      <c r="G4" s="183"/>
      <c r="H4" s="229"/>
      <c r="I4" s="229"/>
    </row>
    <row r="5" spans="1:17" ht="15" customHeight="1" x14ac:dyDescent="0.3">
      <c r="A5" s="164" t="s">
        <v>172</v>
      </c>
      <c r="B5" s="158"/>
      <c r="C5" s="184"/>
      <c r="D5" s="184"/>
      <c r="E5" s="184"/>
      <c r="F5" s="184"/>
      <c r="G5" s="369"/>
      <c r="H5" s="229"/>
      <c r="I5" s="229"/>
    </row>
    <row r="6" spans="1:17" ht="15" customHeight="1" x14ac:dyDescent="0.3">
      <c r="A6" s="164" t="s">
        <v>173</v>
      </c>
      <c r="B6" s="158"/>
      <c r="C6" s="160"/>
      <c r="D6" s="185"/>
      <c r="E6" s="160"/>
      <c r="F6" s="160"/>
      <c r="G6" s="186"/>
      <c r="H6" s="170"/>
      <c r="I6" s="170"/>
    </row>
    <row r="7" spans="1:17" s="124" customFormat="1" ht="15" customHeight="1" x14ac:dyDescent="0.35">
      <c r="A7" s="164" t="s">
        <v>174</v>
      </c>
      <c r="B7" s="341"/>
      <c r="C7" s="187"/>
      <c r="D7" s="185"/>
      <c r="E7" s="187"/>
      <c r="F7" s="187"/>
      <c r="G7" s="370"/>
      <c r="H7" s="229"/>
      <c r="I7" s="229"/>
      <c r="J7" s="2"/>
      <c r="K7" s="2"/>
      <c r="L7" s="2"/>
      <c r="M7" s="2"/>
      <c r="N7" s="2"/>
      <c r="O7" s="2"/>
    </row>
    <row r="8" spans="1:17" ht="15" customHeight="1" x14ac:dyDescent="0.3">
      <c r="A8" s="164" t="s">
        <v>175</v>
      </c>
      <c r="B8" s="158"/>
      <c r="C8" s="159"/>
      <c r="D8" s="185"/>
      <c r="E8" s="159"/>
      <c r="F8" s="159"/>
      <c r="G8" s="165"/>
      <c r="H8" s="351"/>
      <c r="I8" s="351"/>
    </row>
    <row r="9" spans="1:17" ht="15" customHeight="1" x14ac:dyDescent="0.3">
      <c r="A9" s="164" t="s">
        <v>176</v>
      </c>
      <c r="B9" s="158"/>
      <c r="C9" s="160"/>
      <c r="D9" s="185"/>
      <c r="E9" s="160"/>
      <c r="F9" s="160"/>
      <c r="G9" s="186"/>
      <c r="H9" s="170"/>
      <c r="I9" s="170"/>
    </row>
    <row r="10" spans="1:17" ht="15" customHeight="1" x14ac:dyDescent="0.3">
      <c r="A10" s="167" t="s">
        <v>177</v>
      </c>
      <c r="B10" s="168"/>
      <c r="C10" s="171"/>
      <c r="D10" s="188"/>
      <c r="E10" s="171"/>
      <c r="F10" s="171"/>
      <c r="G10" s="189"/>
      <c r="H10" s="170"/>
      <c r="I10" s="170"/>
    </row>
    <row r="11" spans="1:17" ht="15" customHeight="1" thickBot="1" x14ac:dyDescent="0.35">
      <c r="B11" s="11"/>
      <c r="D11" s="11"/>
      <c r="E11" s="11"/>
      <c r="F11" s="11"/>
      <c r="G11" s="11"/>
      <c r="H11" s="11"/>
    </row>
    <row r="12" spans="1:17" ht="16.2" thickBot="1" x14ac:dyDescent="0.35">
      <c r="B12" s="229"/>
      <c r="C12" s="965" t="s">
        <v>178</v>
      </c>
      <c r="D12" s="966"/>
      <c r="E12" s="966"/>
      <c r="F12" s="966"/>
      <c r="G12" s="966"/>
      <c r="H12" s="967"/>
      <c r="I12" s="959" t="s">
        <v>179</v>
      </c>
      <c r="J12" s="960"/>
      <c r="K12" s="961"/>
      <c r="L12" s="959" t="s">
        <v>180</v>
      </c>
      <c r="M12" s="960"/>
      <c r="N12" s="960"/>
      <c r="O12" s="960"/>
      <c r="P12" s="960"/>
      <c r="Q12" s="961"/>
    </row>
    <row r="13" spans="1:17" ht="75" customHeight="1" thickBot="1" x14ac:dyDescent="0.35">
      <c r="B13" s="230"/>
      <c r="C13" s="954" t="s">
        <v>181</v>
      </c>
      <c r="D13" s="955"/>
      <c r="E13" s="956"/>
      <c r="F13" s="954" t="s">
        <v>182</v>
      </c>
      <c r="G13" s="957"/>
      <c r="H13" s="958"/>
      <c r="I13" s="435" t="s">
        <v>183</v>
      </c>
      <c r="J13" s="435" t="s">
        <v>64</v>
      </c>
      <c r="K13" s="435" t="s">
        <v>184</v>
      </c>
      <c r="L13" s="962" t="s">
        <v>185</v>
      </c>
      <c r="M13" s="963"/>
      <c r="N13" s="963"/>
      <c r="O13" s="964"/>
      <c r="P13" s="119" t="s">
        <v>186</v>
      </c>
      <c r="Q13" s="119" t="s">
        <v>187</v>
      </c>
    </row>
    <row r="14" spans="1:17" ht="60" customHeight="1" thickBot="1" x14ac:dyDescent="0.35">
      <c r="A14" s="368" t="s">
        <v>2</v>
      </c>
      <c r="B14" s="361" t="s">
        <v>188</v>
      </c>
      <c r="C14" s="122" t="s">
        <v>189</v>
      </c>
      <c r="D14" s="43" t="s">
        <v>190</v>
      </c>
      <c r="E14" s="42" t="s">
        <v>191</v>
      </c>
      <c r="F14" s="41" t="s">
        <v>192</v>
      </c>
      <c r="G14" s="43" t="s">
        <v>193</v>
      </c>
      <c r="H14" s="42" t="s">
        <v>194</v>
      </c>
      <c r="I14" s="41" t="s">
        <v>195</v>
      </c>
      <c r="J14" s="41" t="s">
        <v>196</v>
      </c>
      <c r="K14" s="41" t="s">
        <v>197</v>
      </c>
      <c r="L14" s="436" t="s">
        <v>198</v>
      </c>
      <c r="M14" s="43" t="s">
        <v>199</v>
      </c>
      <c r="N14" s="437" t="s">
        <v>200</v>
      </c>
      <c r="O14" s="42" t="s">
        <v>189</v>
      </c>
      <c r="P14" s="118" t="s">
        <v>201</v>
      </c>
      <c r="Q14" s="118" t="s">
        <v>202</v>
      </c>
    </row>
    <row r="15" spans="1:17" ht="30" customHeight="1" x14ac:dyDescent="0.3">
      <c r="A15" s="367" t="str">
        <f>$E$1</f>
        <v>[Enter Company Name]</v>
      </c>
      <c r="B15" s="362" t="s">
        <v>203</v>
      </c>
      <c r="C15" s="318"/>
      <c r="D15" s="316"/>
      <c r="E15" s="293"/>
      <c r="F15" s="319"/>
      <c r="G15" s="316"/>
      <c r="H15" s="293"/>
      <c r="I15" s="318"/>
      <c r="J15" s="318"/>
      <c r="K15" s="325"/>
      <c r="L15" s="315"/>
      <c r="M15" s="316"/>
      <c r="N15" s="316"/>
      <c r="O15" s="317"/>
      <c r="P15" s="120"/>
      <c r="Q15" s="120"/>
    </row>
    <row r="16" spans="1:17" ht="30" customHeight="1" x14ac:dyDescent="0.3">
      <c r="A16" s="365" t="str">
        <f t="shared" ref="A16:A22" si="0">$E$1</f>
        <v>[Enter Company Name]</v>
      </c>
      <c r="B16" s="363" t="s">
        <v>204</v>
      </c>
      <c r="C16" s="326"/>
      <c r="D16" s="327"/>
      <c r="E16" s="328"/>
      <c r="F16" s="329"/>
      <c r="G16" s="329"/>
      <c r="H16" s="329"/>
      <c r="I16" s="326"/>
      <c r="J16" s="326"/>
      <c r="K16" s="330"/>
      <c r="L16" s="331"/>
      <c r="M16" s="327"/>
      <c r="N16" s="327"/>
      <c r="O16" s="332"/>
      <c r="P16" s="117"/>
      <c r="Q16" s="117"/>
    </row>
    <row r="17" spans="1:17" ht="30" customHeight="1" x14ac:dyDescent="0.3">
      <c r="A17" s="365" t="str">
        <f t="shared" si="0"/>
        <v>[Enter Company Name]</v>
      </c>
      <c r="B17" s="363" t="s">
        <v>205</v>
      </c>
      <c r="C17" s="320"/>
      <c r="D17" s="321"/>
      <c r="E17" s="294"/>
      <c r="F17" s="320"/>
      <c r="G17" s="321"/>
      <c r="H17" s="294"/>
      <c r="I17" s="320"/>
      <c r="J17" s="320"/>
      <c r="K17" s="320"/>
      <c r="L17" s="322"/>
      <c r="M17" s="321"/>
      <c r="N17" s="321"/>
      <c r="O17" s="323"/>
      <c r="P17" s="117"/>
      <c r="Q17" s="117"/>
    </row>
    <row r="18" spans="1:17" ht="30" customHeight="1" x14ac:dyDescent="0.3">
      <c r="A18" s="365" t="str">
        <f t="shared" si="0"/>
        <v>[Enter Company Name]</v>
      </c>
      <c r="B18" s="363" t="s">
        <v>206</v>
      </c>
      <c r="C18" s="326"/>
      <c r="D18" s="327"/>
      <c r="E18" s="328"/>
      <c r="F18" s="329"/>
      <c r="G18" s="327"/>
      <c r="H18" s="328"/>
      <c r="I18" s="326"/>
      <c r="J18" s="326"/>
      <c r="K18" s="326"/>
      <c r="L18" s="331"/>
      <c r="M18" s="327"/>
      <c r="N18" s="327"/>
      <c r="O18" s="332"/>
      <c r="P18" s="117"/>
      <c r="Q18" s="117"/>
    </row>
    <row r="19" spans="1:17" ht="30" customHeight="1" x14ac:dyDescent="0.3">
      <c r="A19" s="365" t="str">
        <f t="shared" si="0"/>
        <v>[Enter Company Name]</v>
      </c>
      <c r="B19" s="363" t="s">
        <v>207</v>
      </c>
      <c r="C19" s="320"/>
      <c r="D19" s="321"/>
      <c r="E19" s="294"/>
      <c r="F19" s="320"/>
      <c r="G19" s="321"/>
      <c r="H19" s="294"/>
      <c r="I19" s="320"/>
      <c r="J19" s="320"/>
      <c r="K19" s="324"/>
      <c r="L19" s="322"/>
      <c r="M19" s="321"/>
      <c r="N19" s="321"/>
      <c r="O19" s="323"/>
      <c r="P19" s="117"/>
      <c r="Q19" s="117"/>
    </row>
    <row r="20" spans="1:17" ht="30" customHeight="1" x14ac:dyDescent="0.3">
      <c r="A20" s="365" t="str">
        <f t="shared" si="0"/>
        <v>[Enter Company Name]</v>
      </c>
      <c r="B20" s="363" t="s">
        <v>208</v>
      </c>
      <c r="C20" s="326"/>
      <c r="D20" s="327"/>
      <c r="E20" s="328"/>
      <c r="F20" s="329"/>
      <c r="G20" s="327"/>
      <c r="H20" s="328"/>
      <c r="I20" s="326"/>
      <c r="J20" s="326"/>
      <c r="K20" s="330"/>
      <c r="L20" s="331"/>
      <c r="M20" s="327"/>
      <c r="N20" s="327"/>
      <c r="O20" s="332"/>
      <c r="P20" s="117"/>
      <c r="Q20" s="117"/>
    </row>
    <row r="21" spans="1:17" ht="30" customHeight="1" x14ac:dyDescent="0.3">
      <c r="A21" s="365" t="str">
        <f t="shared" si="0"/>
        <v>[Enter Company Name]</v>
      </c>
      <c r="B21" s="363" t="s">
        <v>209</v>
      </c>
      <c r="C21" s="320"/>
      <c r="D21" s="321"/>
      <c r="E21" s="294"/>
      <c r="F21" s="320"/>
      <c r="G21" s="321"/>
      <c r="H21" s="294"/>
      <c r="I21" s="320"/>
      <c r="J21" s="320"/>
      <c r="K21" s="324"/>
      <c r="L21" s="322"/>
      <c r="M21" s="321"/>
      <c r="N21" s="321"/>
      <c r="O21" s="323"/>
      <c r="P21" s="117"/>
      <c r="Q21" s="117"/>
    </row>
    <row r="22" spans="1:17" ht="30" customHeight="1" thickBot="1" x14ac:dyDescent="0.35">
      <c r="A22" s="366" t="str">
        <f t="shared" si="0"/>
        <v>[Enter Company Name]</v>
      </c>
      <c r="B22" s="364" t="s">
        <v>210</v>
      </c>
      <c r="C22" s="333"/>
      <c r="D22" s="334"/>
      <c r="E22" s="335"/>
      <c r="F22" s="336"/>
      <c r="G22" s="334"/>
      <c r="H22" s="335"/>
      <c r="I22" s="333"/>
      <c r="J22" s="333"/>
      <c r="K22" s="337"/>
      <c r="L22" s="338"/>
      <c r="M22" s="334"/>
      <c r="N22" s="334"/>
      <c r="O22" s="339"/>
      <c r="P22" s="263"/>
      <c r="Q22" s="263"/>
    </row>
    <row r="23" spans="1:17" ht="30" customHeight="1" thickBot="1" x14ac:dyDescent="0.35">
      <c r="B23" s="218"/>
      <c r="C23" s="218"/>
      <c r="D23" s="218"/>
      <c r="E23" s="218"/>
      <c r="F23" s="218"/>
      <c r="G23" s="218"/>
      <c r="H23" s="218"/>
      <c r="I23" s="218"/>
      <c r="J23" s="218"/>
      <c r="K23" s="218"/>
      <c r="L23" s="218"/>
      <c r="M23" s="218"/>
      <c r="N23" s="218"/>
      <c r="O23" s="262" t="s">
        <v>211</v>
      </c>
      <c r="P23" s="313"/>
      <c r="Q23" s="314"/>
    </row>
    <row r="24" spans="1:17" x14ac:dyDescent="0.3">
      <c r="A24" s="358" t="s">
        <v>212</v>
      </c>
      <c r="B24" s="218"/>
      <c r="C24" s="218"/>
      <c r="D24" s="218"/>
      <c r="E24" s="218"/>
      <c r="F24" s="218"/>
      <c r="G24" s="218"/>
      <c r="H24" s="218"/>
      <c r="I24" s="218"/>
      <c r="J24" s="218"/>
      <c r="K24" s="218"/>
    </row>
    <row r="25" spans="1:17" x14ac:dyDescent="0.3">
      <c r="A25" s="172" t="s">
        <v>213</v>
      </c>
      <c r="B25" s="152"/>
      <c r="C25" s="173"/>
      <c r="D25" s="173"/>
      <c r="E25" s="173"/>
      <c r="F25" s="173"/>
      <c r="G25" s="173"/>
      <c r="H25" s="173"/>
      <c r="I25" s="174"/>
      <c r="J25" s="175"/>
      <c r="K25" s="371"/>
    </row>
    <row r="26" spans="1:17" x14ac:dyDescent="0.3">
      <c r="A26" s="164" t="s">
        <v>214</v>
      </c>
      <c r="B26" s="158"/>
      <c r="C26" s="163"/>
      <c r="D26" s="163"/>
      <c r="E26" s="163"/>
      <c r="F26" s="163"/>
      <c r="G26" s="163"/>
      <c r="H26" s="163"/>
      <c r="I26" s="176"/>
      <c r="J26" s="177"/>
      <c r="K26" s="371"/>
    </row>
    <row r="27" spans="1:17" x14ac:dyDescent="0.3">
      <c r="A27" s="164" t="s">
        <v>215</v>
      </c>
      <c r="B27" s="158"/>
      <c r="C27" s="163"/>
      <c r="D27" s="163"/>
      <c r="E27" s="163"/>
      <c r="F27" s="163"/>
      <c r="G27" s="163"/>
      <c r="H27" s="163"/>
      <c r="I27" s="176"/>
      <c r="J27" s="177"/>
      <c r="K27" s="371"/>
    </row>
    <row r="28" spans="1:17" x14ac:dyDescent="0.3">
      <c r="A28" s="167" t="s">
        <v>216</v>
      </c>
      <c r="B28" s="168"/>
      <c r="C28" s="178"/>
      <c r="D28" s="178"/>
      <c r="E28" s="178"/>
      <c r="F28" s="178"/>
      <c r="G28" s="178"/>
      <c r="H28" s="178"/>
      <c r="I28" s="179"/>
      <c r="J28" s="180"/>
      <c r="K28" s="371"/>
    </row>
    <row r="29" spans="1:17" x14ac:dyDescent="0.3">
      <c r="B29" s="138"/>
    </row>
  </sheetData>
  <mergeCells count="6">
    <mergeCell ref="C12:H12"/>
    <mergeCell ref="I12:K12"/>
    <mergeCell ref="L12:Q12"/>
    <mergeCell ref="C13:E13"/>
    <mergeCell ref="F13:H13"/>
    <mergeCell ref="L13:O13"/>
  </mergeCells>
  <pageMargins left="0.7" right="0.7" top="0.75" bottom="0.75" header="0.3" footer="0.3"/>
  <pageSetup scale="40" orientation="landscape" r:id="rId1"/>
  <colBreaks count="1" manualBreakCount="1">
    <brk id="7"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2"/>
    <pageSetUpPr fitToPage="1"/>
  </sheetPr>
  <dimension ref="A1:U182"/>
  <sheetViews>
    <sheetView topLeftCell="A7" zoomScale="75" zoomScaleNormal="75" workbookViewId="0">
      <selection activeCell="S57" sqref="S57"/>
    </sheetView>
  </sheetViews>
  <sheetFormatPr defaultColWidth="9.109375" defaultRowHeight="14.4" x14ac:dyDescent="0.3"/>
  <cols>
    <col min="1" max="1" width="23.33203125" style="123" customWidth="1"/>
    <col min="2" max="2" width="51.5546875" customWidth="1"/>
    <col min="3" max="3" width="34.88671875" customWidth="1"/>
    <col min="4" max="4" width="19.44140625" customWidth="1"/>
    <col min="5" max="5" width="20.6640625" style="123" customWidth="1"/>
    <col min="6" max="6" width="23.33203125" style="123" customWidth="1"/>
    <col min="7" max="7" width="23.44140625" style="123" customWidth="1"/>
    <col min="8" max="8" width="22" bestFit="1" customWidth="1"/>
    <col min="9" max="9" width="27.6640625" bestFit="1" customWidth="1"/>
    <col min="10" max="10" width="14.6640625" customWidth="1"/>
    <col min="11" max="12" width="14" customWidth="1"/>
    <col min="13" max="21" width="16.6640625" customWidth="1"/>
  </cols>
  <sheetData>
    <row r="1" spans="1:21" x14ac:dyDescent="0.3">
      <c r="A1" s="419" t="s">
        <v>220</v>
      </c>
      <c r="B1" s="419" t="s">
        <v>344</v>
      </c>
      <c r="C1" s="116"/>
      <c r="D1" s="420" t="s">
        <v>2</v>
      </c>
      <c r="E1" s="420" t="s">
        <v>69</v>
      </c>
      <c r="H1" s="123"/>
      <c r="I1" s="123"/>
      <c r="J1" s="123"/>
      <c r="K1" s="123"/>
      <c r="L1" s="123"/>
      <c r="M1" s="123"/>
      <c r="N1" s="123"/>
      <c r="O1" s="123"/>
      <c r="P1" s="123"/>
      <c r="Q1" s="123"/>
    </row>
    <row r="2" spans="1:21" x14ac:dyDescent="0.3">
      <c r="A2" s="72"/>
      <c r="B2" s="72"/>
      <c r="C2" s="123"/>
      <c r="D2" s="250" t="s">
        <v>4</v>
      </c>
      <c r="E2" s="265">
        <v>2022</v>
      </c>
      <c r="H2" s="123"/>
      <c r="I2" s="123"/>
      <c r="J2" s="123"/>
      <c r="K2" s="123"/>
      <c r="L2" s="123"/>
      <c r="M2" s="123"/>
      <c r="N2" s="123"/>
      <c r="O2" s="123"/>
      <c r="P2" s="123"/>
      <c r="Q2" s="123"/>
    </row>
    <row r="3" spans="1:21" s="123" customFormat="1" x14ac:dyDescent="0.3">
      <c r="A3" s="72"/>
      <c r="B3" s="72"/>
      <c r="C3" s="266"/>
      <c r="D3" s="264"/>
      <c r="E3" s="264"/>
      <c r="F3" s="264"/>
      <c r="G3" s="264"/>
      <c r="H3" s="398"/>
    </row>
    <row r="4" spans="1:21" x14ac:dyDescent="0.3">
      <c r="A4" s="340" t="s">
        <v>221</v>
      </c>
      <c r="B4" s="340"/>
      <c r="C4" s="340"/>
      <c r="D4" s="340"/>
      <c r="E4" s="340"/>
      <c r="F4" s="340"/>
      <c r="G4" s="229"/>
      <c r="H4" s="229"/>
      <c r="I4" s="123"/>
      <c r="J4" s="130"/>
      <c r="K4" s="63"/>
      <c r="L4" s="130"/>
      <c r="M4" s="130"/>
      <c r="N4" s="130"/>
      <c r="O4" s="130"/>
      <c r="P4" s="130"/>
      <c r="Q4" s="130"/>
    </row>
    <row r="5" spans="1:21" ht="15" thickBot="1" x14ac:dyDescent="0.35">
      <c r="A5" s="418" t="s">
        <v>222</v>
      </c>
      <c r="B5" s="123"/>
      <c r="C5" s="123"/>
      <c r="D5" s="123"/>
      <c r="G5" s="70"/>
      <c r="H5" s="254"/>
      <c r="I5" s="1"/>
      <c r="J5" s="130"/>
      <c r="K5" s="130"/>
      <c r="L5" s="130"/>
      <c r="M5" s="130"/>
      <c r="N5" s="130"/>
      <c r="O5" s="130"/>
      <c r="P5" s="130"/>
      <c r="Q5" s="130"/>
    </row>
    <row r="6" spans="1:21" ht="15" thickBot="1" x14ac:dyDescent="0.35">
      <c r="A6" s="418"/>
      <c r="B6" s="418"/>
      <c r="C6" s="418"/>
      <c r="D6" s="968">
        <v>2022</v>
      </c>
      <c r="E6" s="969"/>
      <c r="F6" s="969"/>
      <c r="G6" s="969"/>
      <c r="H6" s="969"/>
      <c r="I6" s="969"/>
      <c r="J6" s="969"/>
      <c r="K6" s="969"/>
      <c r="L6" s="970"/>
      <c r="M6" s="980">
        <v>2023</v>
      </c>
      <c r="N6" s="981"/>
      <c r="O6" s="981"/>
      <c r="P6" s="980">
        <v>2024</v>
      </c>
      <c r="Q6" s="981"/>
      <c r="R6" s="981"/>
      <c r="S6" s="980">
        <v>2025</v>
      </c>
      <c r="T6" s="981"/>
      <c r="U6" s="982"/>
    </row>
    <row r="7" spans="1:21" ht="15" thickBot="1" x14ac:dyDescent="0.35">
      <c r="A7" s="418"/>
      <c r="B7" s="418"/>
      <c r="C7" s="418"/>
      <c r="D7" s="971" t="s">
        <v>231</v>
      </c>
      <c r="E7" s="972"/>
      <c r="F7" s="973"/>
      <c r="G7" s="974" t="s">
        <v>232</v>
      </c>
      <c r="H7" s="975"/>
      <c r="I7" s="976"/>
      <c r="J7" s="977" t="s">
        <v>233</v>
      </c>
      <c r="K7" s="978"/>
      <c r="L7" s="979"/>
      <c r="M7" s="971" t="s">
        <v>231</v>
      </c>
      <c r="N7" s="972"/>
      <c r="O7" s="973"/>
      <c r="P7" s="971" t="s">
        <v>231</v>
      </c>
      <c r="Q7" s="972"/>
      <c r="R7" s="973"/>
      <c r="S7" s="971" t="s">
        <v>231</v>
      </c>
      <c r="T7" s="972"/>
      <c r="U7" s="973"/>
    </row>
    <row r="8" spans="1:21" ht="87" thickBot="1" x14ac:dyDescent="0.35">
      <c r="A8" s="440" t="s">
        <v>2</v>
      </c>
      <c r="B8" s="441" t="s">
        <v>223</v>
      </c>
      <c r="C8" s="442" t="s">
        <v>224</v>
      </c>
      <c r="D8" s="268" t="s">
        <v>234</v>
      </c>
      <c r="E8" s="267" t="s">
        <v>235</v>
      </c>
      <c r="F8" s="269" t="s">
        <v>236</v>
      </c>
      <c r="G8" s="268" t="s">
        <v>225</v>
      </c>
      <c r="H8" s="267" t="s">
        <v>226</v>
      </c>
      <c r="I8" s="269" t="s">
        <v>227</v>
      </c>
      <c r="J8" s="268" t="s">
        <v>237</v>
      </c>
      <c r="K8" s="267" t="s">
        <v>238</v>
      </c>
      <c r="L8" s="438" t="s">
        <v>239</v>
      </c>
      <c r="M8" s="268" t="s">
        <v>234</v>
      </c>
      <c r="N8" s="267" t="s">
        <v>235</v>
      </c>
      <c r="O8" s="269" t="s">
        <v>236</v>
      </c>
      <c r="P8" s="268" t="s">
        <v>234</v>
      </c>
      <c r="Q8" s="267" t="s">
        <v>235</v>
      </c>
      <c r="R8" s="269" t="s">
        <v>236</v>
      </c>
      <c r="S8" s="268" t="s">
        <v>234</v>
      </c>
      <c r="T8" s="267" t="s">
        <v>235</v>
      </c>
      <c r="U8" s="269" t="s">
        <v>236</v>
      </c>
    </row>
    <row r="9" spans="1:21" ht="15.6" x14ac:dyDescent="0.3">
      <c r="A9" s="44" t="str">
        <f>$E$1</f>
        <v>Unitil</v>
      </c>
      <c r="B9" s="450" t="s">
        <v>355</v>
      </c>
      <c r="C9" s="453" t="s">
        <v>361</v>
      </c>
      <c r="D9" s="272">
        <v>3</v>
      </c>
      <c r="E9" s="270">
        <v>625000</v>
      </c>
      <c r="F9" s="271">
        <v>625000</v>
      </c>
      <c r="G9" s="272">
        <v>0</v>
      </c>
      <c r="H9" s="813">
        <v>101336.68</v>
      </c>
      <c r="I9" s="271">
        <v>0</v>
      </c>
      <c r="J9" s="374">
        <f>IFERROR(((G9-D9)/D9),0)</f>
        <v>-1</v>
      </c>
      <c r="K9" s="375">
        <f t="shared" ref="K9:L22" si="0">IFERROR(((H9-E9)/E9),0)</f>
        <v>-0.83786131200000002</v>
      </c>
      <c r="L9" s="376">
        <f t="shared" si="0"/>
        <v>-1</v>
      </c>
      <c r="M9" s="272">
        <v>3</v>
      </c>
      <c r="N9" s="270">
        <v>186000</v>
      </c>
      <c r="O9" s="271">
        <v>186000</v>
      </c>
      <c r="P9" s="272">
        <v>1</v>
      </c>
      <c r="Q9" s="270">
        <v>218000</v>
      </c>
      <c r="R9" s="271">
        <v>218000</v>
      </c>
      <c r="S9" s="272">
        <v>0</v>
      </c>
      <c r="T9" s="270">
        <v>100000</v>
      </c>
      <c r="U9" s="271">
        <v>100000</v>
      </c>
    </row>
    <row r="10" spans="1:21" ht="15.6" x14ac:dyDescent="0.3">
      <c r="A10" s="45" t="str">
        <f t="shared" ref="A10:A42" si="1">$E$1</f>
        <v>Unitil</v>
      </c>
      <c r="B10" s="451" t="s">
        <v>355</v>
      </c>
      <c r="C10" s="454" t="s">
        <v>356</v>
      </c>
      <c r="D10" s="273">
        <v>1</v>
      </c>
      <c r="E10" s="274">
        <v>155000</v>
      </c>
      <c r="F10" s="275">
        <v>155000</v>
      </c>
      <c r="G10" s="273">
        <v>0</v>
      </c>
      <c r="H10" s="274">
        <v>0</v>
      </c>
      <c r="I10" s="275">
        <v>0</v>
      </c>
      <c r="J10" s="377">
        <f t="shared" ref="J10:J22" si="2">IFERROR(((G10-D10)/D10),0)</f>
        <v>-1</v>
      </c>
      <c r="K10" s="378">
        <f t="shared" si="0"/>
        <v>-1</v>
      </c>
      <c r="L10" s="379">
        <f t="shared" si="0"/>
        <v>-1</v>
      </c>
      <c r="M10" s="273">
        <v>0</v>
      </c>
      <c r="N10" s="274">
        <v>0</v>
      </c>
      <c r="O10" s="275">
        <v>0</v>
      </c>
      <c r="P10" s="273">
        <v>0</v>
      </c>
      <c r="Q10" s="274">
        <v>0</v>
      </c>
      <c r="R10" s="275">
        <v>0</v>
      </c>
      <c r="S10" s="273">
        <v>1</v>
      </c>
      <c r="T10" s="274">
        <v>64000</v>
      </c>
      <c r="U10" s="275">
        <v>64000</v>
      </c>
    </row>
    <row r="11" spans="1:21" ht="15.6" x14ac:dyDescent="0.3">
      <c r="A11" s="45" t="str">
        <f t="shared" si="1"/>
        <v>Unitil</v>
      </c>
      <c r="B11" s="451" t="s">
        <v>355</v>
      </c>
      <c r="C11" s="454" t="s">
        <v>364</v>
      </c>
      <c r="D11" s="456"/>
      <c r="E11" s="457"/>
      <c r="F11" s="458"/>
      <c r="G11" s="456"/>
      <c r="H11" s="457"/>
      <c r="I11" s="458"/>
      <c r="J11" s="459">
        <f t="shared" si="2"/>
        <v>0</v>
      </c>
      <c r="K11" s="460">
        <f t="shared" si="0"/>
        <v>0</v>
      </c>
      <c r="L11" s="461">
        <f t="shared" si="0"/>
        <v>0</v>
      </c>
      <c r="M11" s="456"/>
      <c r="N11" s="457"/>
      <c r="O11" s="458"/>
      <c r="P11" s="456"/>
      <c r="Q11" s="457"/>
      <c r="R11" s="458"/>
      <c r="S11" s="456"/>
      <c r="T11" s="457"/>
      <c r="U11" s="458"/>
    </row>
    <row r="12" spans="1:21" ht="15.6" x14ac:dyDescent="0.3">
      <c r="A12" s="45" t="str">
        <f t="shared" si="1"/>
        <v>Unitil</v>
      </c>
      <c r="B12" s="451" t="s">
        <v>355</v>
      </c>
      <c r="C12" s="454" t="s">
        <v>365</v>
      </c>
      <c r="D12" s="456"/>
      <c r="E12" s="457"/>
      <c r="F12" s="458"/>
      <c r="G12" s="456"/>
      <c r="H12" s="457"/>
      <c r="I12" s="458"/>
      <c r="J12" s="459">
        <f t="shared" si="2"/>
        <v>0</v>
      </c>
      <c r="K12" s="460">
        <f t="shared" si="0"/>
        <v>0</v>
      </c>
      <c r="L12" s="461">
        <f t="shared" si="0"/>
        <v>0</v>
      </c>
      <c r="M12" s="456"/>
      <c r="N12" s="457"/>
      <c r="O12" s="458"/>
      <c r="P12" s="456"/>
      <c r="Q12" s="457"/>
      <c r="R12" s="458"/>
      <c r="S12" s="456"/>
      <c r="T12" s="457"/>
      <c r="U12" s="458"/>
    </row>
    <row r="13" spans="1:21" ht="15.6" x14ac:dyDescent="0.3">
      <c r="A13" s="45" t="str">
        <f t="shared" si="1"/>
        <v>Unitil</v>
      </c>
      <c r="B13" s="451" t="s">
        <v>366</v>
      </c>
      <c r="C13" s="454" t="s">
        <v>367</v>
      </c>
      <c r="D13" s="456"/>
      <c r="E13" s="457"/>
      <c r="F13" s="458"/>
      <c r="G13" s="456"/>
      <c r="H13" s="457"/>
      <c r="I13" s="458"/>
      <c r="J13" s="459">
        <f t="shared" si="2"/>
        <v>0</v>
      </c>
      <c r="K13" s="460">
        <f t="shared" si="0"/>
        <v>0</v>
      </c>
      <c r="L13" s="461">
        <f t="shared" si="0"/>
        <v>0</v>
      </c>
      <c r="M13" s="456"/>
      <c r="N13" s="457"/>
      <c r="O13" s="458"/>
      <c r="P13" s="456"/>
      <c r="Q13" s="457"/>
      <c r="R13" s="458"/>
      <c r="S13" s="456"/>
      <c r="T13" s="457"/>
      <c r="U13" s="458"/>
    </row>
    <row r="14" spans="1:21" ht="15.6" x14ac:dyDescent="0.3">
      <c r="A14" s="45" t="str">
        <f t="shared" si="1"/>
        <v>Unitil</v>
      </c>
      <c r="B14" s="451" t="s">
        <v>7</v>
      </c>
      <c r="C14" s="454" t="s">
        <v>368</v>
      </c>
      <c r="D14" s="456"/>
      <c r="E14" s="457"/>
      <c r="F14" s="458"/>
      <c r="G14" s="456"/>
      <c r="H14" s="457"/>
      <c r="I14" s="458"/>
      <c r="J14" s="459">
        <f t="shared" si="2"/>
        <v>0</v>
      </c>
      <c r="K14" s="460">
        <f t="shared" si="0"/>
        <v>0</v>
      </c>
      <c r="L14" s="461">
        <f t="shared" si="0"/>
        <v>0</v>
      </c>
      <c r="M14" s="456"/>
      <c r="N14" s="457"/>
      <c r="O14" s="458"/>
      <c r="P14" s="456"/>
      <c r="Q14" s="457"/>
      <c r="R14" s="458"/>
      <c r="S14" s="456"/>
      <c r="T14" s="457"/>
      <c r="U14" s="458"/>
    </row>
    <row r="15" spans="1:21" ht="15.6" x14ac:dyDescent="0.3">
      <c r="A15" s="45" t="str">
        <f t="shared" si="1"/>
        <v>Unitil</v>
      </c>
      <c r="B15" s="451" t="s">
        <v>7</v>
      </c>
      <c r="C15" s="454" t="s">
        <v>369</v>
      </c>
      <c r="D15" s="456"/>
      <c r="E15" s="457"/>
      <c r="F15" s="458"/>
      <c r="G15" s="456"/>
      <c r="H15" s="457"/>
      <c r="I15" s="458"/>
      <c r="J15" s="459">
        <f t="shared" si="2"/>
        <v>0</v>
      </c>
      <c r="K15" s="460">
        <f t="shared" si="0"/>
        <v>0</v>
      </c>
      <c r="L15" s="461">
        <f t="shared" si="0"/>
        <v>0</v>
      </c>
      <c r="M15" s="456"/>
      <c r="N15" s="457"/>
      <c r="O15" s="458"/>
      <c r="P15" s="456"/>
      <c r="Q15" s="457"/>
      <c r="R15" s="458"/>
      <c r="S15" s="456"/>
      <c r="T15" s="457"/>
      <c r="U15" s="458"/>
    </row>
    <row r="16" spans="1:21" ht="15.6" x14ac:dyDescent="0.3">
      <c r="A16" s="45" t="str">
        <f t="shared" si="1"/>
        <v>Unitil</v>
      </c>
      <c r="B16" s="451" t="s">
        <v>7</v>
      </c>
      <c r="C16" s="454" t="s">
        <v>367</v>
      </c>
      <c r="D16" s="456"/>
      <c r="E16" s="457"/>
      <c r="F16" s="458"/>
      <c r="G16" s="456"/>
      <c r="H16" s="457"/>
      <c r="I16" s="458"/>
      <c r="J16" s="459">
        <f t="shared" si="2"/>
        <v>0</v>
      </c>
      <c r="K16" s="460">
        <f t="shared" si="0"/>
        <v>0</v>
      </c>
      <c r="L16" s="461">
        <f t="shared" si="0"/>
        <v>0</v>
      </c>
      <c r="M16" s="456"/>
      <c r="N16" s="457"/>
      <c r="O16" s="458"/>
      <c r="P16" s="456"/>
      <c r="Q16" s="457"/>
      <c r="R16" s="458"/>
      <c r="S16" s="456"/>
      <c r="T16" s="457"/>
      <c r="U16" s="458"/>
    </row>
    <row r="17" spans="1:21" s="123" customFormat="1" ht="15.6" x14ac:dyDescent="0.3">
      <c r="A17" s="45" t="str">
        <f t="shared" si="1"/>
        <v>Unitil</v>
      </c>
      <c r="B17" s="451" t="s">
        <v>7</v>
      </c>
      <c r="C17" s="454" t="s">
        <v>382</v>
      </c>
      <c r="D17" s="456"/>
      <c r="E17" s="457"/>
      <c r="F17" s="458"/>
      <c r="G17" s="456"/>
      <c r="H17" s="457"/>
      <c r="I17" s="458"/>
      <c r="J17" s="459">
        <f t="shared" ref="J17" si="3">IFERROR(((G17-D17)/D17),0)</f>
        <v>0</v>
      </c>
      <c r="K17" s="460">
        <f t="shared" ref="K17" si="4">IFERROR(((H17-E17)/E17),0)</f>
        <v>0</v>
      </c>
      <c r="L17" s="461">
        <f t="shared" ref="L17" si="5">IFERROR(((I17-F17)/F17),0)</f>
        <v>0</v>
      </c>
      <c r="M17" s="456"/>
      <c r="N17" s="457"/>
      <c r="O17" s="458"/>
      <c r="P17" s="456"/>
      <c r="Q17" s="457"/>
      <c r="R17" s="458"/>
      <c r="S17" s="456"/>
      <c r="T17" s="457"/>
      <c r="U17" s="458"/>
    </row>
    <row r="18" spans="1:21" ht="15.6" x14ac:dyDescent="0.3">
      <c r="A18" s="45" t="str">
        <f t="shared" si="1"/>
        <v>Unitil</v>
      </c>
      <c r="B18" s="451" t="s">
        <v>8</v>
      </c>
      <c r="C18" s="454" t="s">
        <v>370</v>
      </c>
      <c r="D18" s="456"/>
      <c r="E18" s="457"/>
      <c r="F18" s="458"/>
      <c r="G18" s="456"/>
      <c r="H18" s="457"/>
      <c r="I18" s="458"/>
      <c r="J18" s="459">
        <f t="shared" si="2"/>
        <v>0</v>
      </c>
      <c r="K18" s="460">
        <f t="shared" si="0"/>
        <v>0</v>
      </c>
      <c r="L18" s="461">
        <f t="shared" si="0"/>
        <v>0</v>
      </c>
      <c r="M18" s="456"/>
      <c r="N18" s="457"/>
      <c r="O18" s="458"/>
      <c r="P18" s="456"/>
      <c r="Q18" s="457"/>
      <c r="R18" s="458"/>
      <c r="S18" s="456"/>
      <c r="T18" s="457"/>
      <c r="U18" s="458"/>
    </row>
    <row r="19" spans="1:21" ht="15.6" x14ac:dyDescent="0.3">
      <c r="A19" s="45" t="str">
        <f t="shared" si="1"/>
        <v>Unitil</v>
      </c>
      <c r="B19" s="451" t="s">
        <v>8</v>
      </c>
      <c r="C19" s="454" t="s">
        <v>371</v>
      </c>
      <c r="D19" s="456"/>
      <c r="E19" s="457"/>
      <c r="F19" s="458"/>
      <c r="G19" s="456"/>
      <c r="H19" s="457"/>
      <c r="I19" s="458"/>
      <c r="J19" s="459">
        <f t="shared" si="2"/>
        <v>0</v>
      </c>
      <c r="K19" s="460">
        <f t="shared" si="0"/>
        <v>0</v>
      </c>
      <c r="L19" s="461">
        <f t="shared" si="0"/>
        <v>0</v>
      </c>
      <c r="M19" s="456"/>
      <c r="N19" s="457"/>
      <c r="O19" s="458"/>
      <c r="P19" s="456"/>
      <c r="Q19" s="457"/>
      <c r="R19" s="458"/>
      <c r="S19" s="456"/>
      <c r="T19" s="457"/>
      <c r="U19" s="458"/>
    </row>
    <row r="20" spans="1:21" ht="15.6" x14ac:dyDescent="0.3">
      <c r="A20" s="45" t="str">
        <f t="shared" si="1"/>
        <v>Unitil</v>
      </c>
      <c r="B20" s="451" t="s">
        <v>8</v>
      </c>
      <c r="C20" s="454" t="s">
        <v>372</v>
      </c>
      <c r="D20" s="481">
        <v>16</v>
      </c>
      <c r="E20" s="482">
        <v>139000</v>
      </c>
      <c r="F20" s="483">
        <v>139000</v>
      </c>
      <c r="G20" s="481">
        <v>12</v>
      </c>
      <c r="H20" s="482">
        <v>66889</v>
      </c>
      <c r="I20" s="483">
        <v>66889</v>
      </c>
      <c r="J20" s="484">
        <f t="shared" si="2"/>
        <v>-0.25</v>
      </c>
      <c r="K20" s="485">
        <f t="shared" si="0"/>
        <v>-0.51878417266187049</v>
      </c>
      <c r="L20" s="486">
        <f t="shared" si="0"/>
        <v>-0.51878417266187049</v>
      </c>
      <c r="M20" s="481">
        <v>35</v>
      </c>
      <c r="N20" s="482">
        <v>510000</v>
      </c>
      <c r="O20" s="482">
        <v>510000</v>
      </c>
      <c r="P20" s="481"/>
      <c r="Q20" s="482"/>
      <c r="R20" s="482"/>
      <c r="S20" s="481">
        <v>3</v>
      </c>
      <c r="T20" s="482">
        <v>300000</v>
      </c>
      <c r="U20" s="482">
        <v>300000</v>
      </c>
    </row>
    <row r="21" spans="1:21" ht="15.6" x14ac:dyDescent="0.3">
      <c r="A21" s="45" t="str">
        <f t="shared" si="1"/>
        <v>Unitil</v>
      </c>
      <c r="B21" s="451" t="s">
        <v>8</v>
      </c>
      <c r="C21" s="454" t="s">
        <v>373</v>
      </c>
      <c r="D21" s="481">
        <v>4</v>
      </c>
      <c r="E21" s="482">
        <v>35000</v>
      </c>
      <c r="F21" s="483">
        <v>35000</v>
      </c>
      <c r="G21" s="481">
        <v>4</v>
      </c>
      <c r="H21" s="482">
        <v>35686</v>
      </c>
      <c r="I21" s="483">
        <v>69129</v>
      </c>
      <c r="J21" s="484">
        <f t="shared" si="2"/>
        <v>0</v>
      </c>
      <c r="K21" s="485">
        <f t="shared" si="0"/>
        <v>1.9599999999999999E-2</v>
      </c>
      <c r="L21" s="486">
        <f t="shared" si="0"/>
        <v>0.97511428571428571</v>
      </c>
      <c r="M21" s="481">
        <v>10</v>
      </c>
      <c r="N21" s="482">
        <v>148000</v>
      </c>
      <c r="O21" s="482">
        <v>148000</v>
      </c>
      <c r="P21" s="481"/>
      <c r="Q21" s="482"/>
      <c r="R21" s="482"/>
      <c r="S21" s="481">
        <v>4</v>
      </c>
      <c r="T21" s="482">
        <v>180000</v>
      </c>
      <c r="U21" s="482">
        <v>180000</v>
      </c>
    </row>
    <row r="22" spans="1:21" ht="15.6" x14ac:dyDescent="0.3">
      <c r="A22" s="45" t="str">
        <f t="shared" si="1"/>
        <v>Unitil</v>
      </c>
      <c r="B22" s="451" t="s">
        <v>8</v>
      </c>
      <c r="C22" s="454" t="s">
        <v>374</v>
      </c>
      <c r="D22" s="481">
        <v>1</v>
      </c>
      <c r="E22" s="482">
        <v>9000</v>
      </c>
      <c r="F22" s="483">
        <v>9000</v>
      </c>
      <c r="G22" s="481">
        <v>0</v>
      </c>
      <c r="H22" s="482">
        <v>25982.45</v>
      </c>
      <c r="I22" s="483">
        <v>25982.45</v>
      </c>
      <c r="J22" s="484">
        <f t="shared" si="2"/>
        <v>-1</v>
      </c>
      <c r="K22" s="485">
        <f t="shared" si="0"/>
        <v>1.8869388888888889</v>
      </c>
      <c r="L22" s="486">
        <f t="shared" si="0"/>
        <v>1.8869388888888889</v>
      </c>
      <c r="M22" s="481">
        <v>4</v>
      </c>
      <c r="N22" s="482">
        <v>71568</v>
      </c>
      <c r="O22" s="482">
        <v>71568</v>
      </c>
      <c r="P22" s="481">
        <v>1</v>
      </c>
      <c r="Q22" s="482">
        <v>29127</v>
      </c>
      <c r="R22" s="482">
        <v>29127</v>
      </c>
      <c r="S22" s="481">
        <v>1</v>
      </c>
      <c r="T22" s="482">
        <v>17946</v>
      </c>
      <c r="U22" s="482">
        <v>17946</v>
      </c>
    </row>
    <row r="23" spans="1:21" ht="15.6" x14ac:dyDescent="0.3">
      <c r="A23" s="45" t="str">
        <f t="shared" si="1"/>
        <v>Unitil</v>
      </c>
      <c r="B23" s="451" t="s">
        <v>8</v>
      </c>
      <c r="C23" s="454" t="s">
        <v>375</v>
      </c>
      <c r="D23" s="481">
        <v>21</v>
      </c>
      <c r="E23" s="482">
        <v>87000</v>
      </c>
      <c r="F23" s="483">
        <v>87000</v>
      </c>
      <c r="G23" s="481">
        <v>21</v>
      </c>
      <c r="H23" s="482">
        <v>121276</v>
      </c>
      <c r="I23" s="483">
        <v>86795</v>
      </c>
      <c r="J23" s="484">
        <f t="shared" ref="J23:J26" si="6">IFERROR(((G23-D23)/D23),0)</f>
        <v>0</v>
      </c>
      <c r="K23" s="485">
        <f t="shared" ref="K23:K27" si="7">IFERROR(((H23-E23)/E23),0)</f>
        <v>0.39397701149425285</v>
      </c>
      <c r="L23" s="486">
        <f t="shared" ref="L23:L27" si="8">IFERROR(((I23-F23)/F23),0)</f>
        <v>-2.3563218390804598E-3</v>
      </c>
      <c r="M23" s="481">
        <v>42</v>
      </c>
      <c r="N23" s="482">
        <v>550000</v>
      </c>
      <c r="O23" s="482">
        <v>550000</v>
      </c>
      <c r="P23" s="481"/>
      <c r="Q23" s="482"/>
      <c r="R23" s="482"/>
      <c r="S23" s="481">
        <v>6</v>
      </c>
      <c r="T23" s="482">
        <v>150000</v>
      </c>
      <c r="U23" s="482">
        <v>150000</v>
      </c>
    </row>
    <row r="24" spans="1:21" ht="37.5" customHeight="1" x14ac:dyDescent="0.3">
      <c r="A24" s="45" t="str">
        <f t="shared" si="1"/>
        <v>Unitil</v>
      </c>
      <c r="B24" s="451" t="s">
        <v>9</v>
      </c>
      <c r="C24" s="454" t="s">
        <v>357</v>
      </c>
      <c r="D24" s="273">
        <v>4</v>
      </c>
      <c r="E24" s="274">
        <v>400000</v>
      </c>
      <c r="F24" s="275">
        <v>400000</v>
      </c>
      <c r="G24" s="273">
        <v>3</v>
      </c>
      <c r="H24" s="274">
        <v>58783</v>
      </c>
      <c r="I24" s="275">
        <v>58783</v>
      </c>
      <c r="J24" s="377">
        <f t="shared" si="6"/>
        <v>-0.25</v>
      </c>
      <c r="K24" s="378">
        <f t="shared" si="7"/>
        <v>-0.85304250000000004</v>
      </c>
      <c r="L24" s="379">
        <f t="shared" si="8"/>
        <v>-0.85304250000000004</v>
      </c>
      <c r="M24" s="273">
        <v>2</v>
      </c>
      <c r="N24" s="274">
        <v>250000</v>
      </c>
      <c r="O24" s="275">
        <v>250000</v>
      </c>
      <c r="P24" s="273">
        <v>1</v>
      </c>
      <c r="Q24" s="274">
        <v>175000</v>
      </c>
      <c r="R24" s="275">
        <v>175000</v>
      </c>
      <c r="S24" s="273">
        <v>1</v>
      </c>
      <c r="T24" s="274">
        <v>125000</v>
      </c>
      <c r="U24" s="275">
        <v>125000</v>
      </c>
    </row>
    <row r="25" spans="1:21" ht="31.2" x14ac:dyDescent="0.3">
      <c r="A25" s="45" t="str">
        <f t="shared" si="1"/>
        <v>Unitil</v>
      </c>
      <c r="B25" s="451" t="s">
        <v>376</v>
      </c>
      <c r="C25" s="454" t="s">
        <v>10</v>
      </c>
      <c r="D25" s="456"/>
      <c r="E25" s="457"/>
      <c r="F25" s="458"/>
      <c r="G25" s="456"/>
      <c r="H25" s="457"/>
      <c r="I25" s="458"/>
      <c r="J25" s="459">
        <f t="shared" si="6"/>
        <v>0</v>
      </c>
      <c r="K25" s="460">
        <f t="shared" si="7"/>
        <v>0</v>
      </c>
      <c r="L25" s="461">
        <f t="shared" si="8"/>
        <v>0</v>
      </c>
      <c r="M25" s="456"/>
      <c r="N25" s="457"/>
      <c r="O25" s="458"/>
      <c r="P25" s="456"/>
      <c r="Q25" s="457"/>
      <c r="R25" s="458"/>
      <c r="S25" s="456"/>
      <c r="T25" s="457"/>
      <c r="U25" s="458"/>
    </row>
    <row r="26" spans="1:21" ht="31.2" x14ac:dyDescent="0.3">
      <c r="A26" s="45" t="str">
        <f t="shared" si="1"/>
        <v>Unitil</v>
      </c>
      <c r="B26" s="451" t="s">
        <v>376</v>
      </c>
      <c r="C26" s="454" t="s">
        <v>335</v>
      </c>
      <c r="D26" s="456"/>
      <c r="E26" s="457"/>
      <c r="F26" s="458"/>
      <c r="G26" s="456"/>
      <c r="H26" s="457"/>
      <c r="I26" s="458"/>
      <c r="J26" s="459">
        <f t="shared" si="6"/>
        <v>0</v>
      </c>
      <c r="K26" s="460">
        <f t="shared" si="7"/>
        <v>0</v>
      </c>
      <c r="L26" s="461">
        <f t="shared" si="8"/>
        <v>0</v>
      </c>
      <c r="M26" s="456"/>
      <c r="N26" s="457"/>
      <c r="O26" s="458"/>
      <c r="P26" s="456"/>
      <c r="Q26" s="457"/>
      <c r="R26" s="458"/>
      <c r="S26" s="456"/>
      <c r="T26" s="457"/>
      <c r="U26" s="458"/>
    </row>
    <row r="27" spans="1:21" ht="31.2" x14ac:dyDescent="0.3">
      <c r="A27" s="45" t="str">
        <f t="shared" si="1"/>
        <v>Unitil</v>
      </c>
      <c r="B27" s="451" t="s">
        <v>10</v>
      </c>
      <c r="C27" s="454" t="s">
        <v>377</v>
      </c>
      <c r="D27" s="456"/>
      <c r="E27" s="457"/>
      <c r="F27" s="458"/>
      <c r="G27" s="456"/>
      <c r="H27" s="457"/>
      <c r="I27" s="458"/>
      <c r="J27" s="459">
        <f>IFERROR(((G27-D27)/D27),0)</f>
        <v>0</v>
      </c>
      <c r="K27" s="460">
        <f t="shared" si="7"/>
        <v>0</v>
      </c>
      <c r="L27" s="461">
        <f t="shared" si="8"/>
        <v>0</v>
      </c>
      <c r="M27" s="456"/>
      <c r="N27" s="457"/>
      <c r="O27" s="458"/>
      <c r="P27" s="456"/>
      <c r="Q27" s="457"/>
      <c r="R27" s="458"/>
      <c r="S27" s="456"/>
      <c r="T27" s="457"/>
      <c r="U27" s="458"/>
    </row>
    <row r="28" spans="1:21" s="7" customFormat="1" ht="31.2" x14ac:dyDescent="0.3">
      <c r="A28" s="45" t="str">
        <f t="shared" si="1"/>
        <v>Unitil</v>
      </c>
      <c r="B28" s="451" t="s">
        <v>10</v>
      </c>
      <c r="C28" s="454" t="s">
        <v>378</v>
      </c>
      <c r="D28" s="456"/>
      <c r="E28" s="457"/>
      <c r="F28" s="458"/>
      <c r="G28" s="456"/>
      <c r="H28" s="457"/>
      <c r="I28" s="458"/>
      <c r="J28" s="459">
        <f t="shared" ref="J28:J36" si="9">IFERROR(((G28-D23)/D23),0)</f>
        <v>-1</v>
      </c>
      <c r="K28" s="460">
        <f t="shared" ref="K28:K36" si="10">IFERROR(((H28-E23)/E23),0)</f>
        <v>-1</v>
      </c>
      <c r="L28" s="461">
        <f t="shared" ref="L28:L36" si="11">IFERROR(((I28-F23)/F23),0)</f>
        <v>-1</v>
      </c>
      <c r="M28" s="456"/>
      <c r="N28" s="457"/>
      <c r="O28" s="458"/>
      <c r="P28" s="456"/>
      <c r="Q28" s="457"/>
      <c r="R28" s="458"/>
      <c r="S28" s="456"/>
      <c r="T28" s="457"/>
      <c r="U28" s="458"/>
    </row>
    <row r="29" spans="1:21" ht="15.6" x14ac:dyDescent="0.3">
      <c r="A29" s="45" t="str">
        <f t="shared" si="1"/>
        <v>Unitil</v>
      </c>
      <c r="B29" s="451" t="s">
        <v>10</v>
      </c>
      <c r="C29" s="454" t="s">
        <v>359</v>
      </c>
      <c r="D29" s="481">
        <v>22</v>
      </c>
      <c r="E29" s="482">
        <v>198000</v>
      </c>
      <c r="F29" s="483">
        <v>198000</v>
      </c>
      <c r="G29" s="481">
        <v>27</v>
      </c>
      <c r="H29" s="482">
        <v>184379.96</v>
      </c>
      <c r="I29" s="482">
        <v>184379.96</v>
      </c>
      <c r="J29" s="484">
        <f t="shared" ref="J29" si="12">IFERROR(((G29-D24)/D24),0)</f>
        <v>5.75</v>
      </c>
      <c r="K29" s="485">
        <f t="shared" ref="K29" si="13">IFERROR(((H29-E24)/E24),0)</f>
        <v>-0.53905009999999998</v>
      </c>
      <c r="L29" s="486">
        <f t="shared" ref="L29" si="14">IFERROR(((I29-F24)/F24),0)</f>
        <v>-0.53905009999999998</v>
      </c>
      <c r="M29" s="481">
        <v>0</v>
      </c>
      <c r="N29" s="482">
        <v>0</v>
      </c>
      <c r="O29" s="483">
        <v>0</v>
      </c>
      <c r="P29" s="481">
        <v>0</v>
      </c>
      <c r="Q29" s="482">
        <v>0</v>
      </c>
      <c r="R29" s="483">
        <v>0</v>
      </c>
      <c r="S29" s="481">
        <v>0</v>
      </c>
      <c r="T29" s="482">
        <v>0</v>
      </c>
      <c r="U29" s="483">
        <v>0</v>
      </c>
    </row>
    <row r="30" spans="1:21" ht="15.6" x14ac:dyDescent="0.3">
      <c r="A30" s="45" t="str">
        <f t="shared" si="1"/>
        <v>Unitil</v>
      </c>
      <c r="B30" s="451" t="s">
        <v>336</v>
      </c>
      <c r="C30" s="454" t="s">
        <v>339</v>
      </c>
      <c r="D30" s="456"/>
      <c r="E30" s="457"/>
      <c r="F30" s="458"/>
      <c r="G30" s="456"/>
      <c r="H30" s="457"/>
      <c r="I30" s="458"/>
      <c r="J30" s="459">
        <f t="shared" si="9"/>
        <v>0</v>
      </c>
      <c r="K30" s="460">
        <f t="shared" si="10"/>
        <v>0</v>
      </c>
      <c r="L30" s="461">
        <f t="shared" si="11"/>
        <v>0</v>
      </c>
      <c r="M30" s="456"/>
      <c r="N30" s="457"/>
      <c r="O30" s="458"/>
      <c r="P30" s="456"/>
      <c r="Q30" s="457"/>
      <c r="R30" s="458"/>
      <c r="S30" s="456"/>
      <c r="T30" s="457"/>
      <c r="U30" s="458"/>
    </row>
    <row r="31" spans="1:21" ht="15.6" x14ac:dyDescent="0.3">
      <c r="A31" s="45" t="str">
        <f t="shared" si="1"/>
        <v>Unitil</v>
      </c>
      <c r="B31" s="451" t="s">
        <v>336</v>
      </c>
      <c r="C31" s="454" t="s">
        <v>379</v>
      </c>
      <c r="D31" s="469"/>
      <c r="E31" s="470"/>
      <c r="F31" s="471"/>
      <c r="G31" s="456"/>
      <c r="H31" s="457"/>
      <c r="I31" s="458"/>
      <c r="J31" s="459">
        <f t="shared" si="9"/>
        <v>0</v>
      </c>
      <c r="K31" s="460">
        <f t="shared" si="10"/>
        <v>0</v>
      </c>
      <c r="L31" s="461">
        <f t="shared" si="11"/>
        <v>0</v>
      </c>
      <c r="M31" s="469"/>
      <c r="N31" s="470"/>
      <c r="O31" s="471"/>
      <c r="P31" s="469"/>
      <c r="Q31" s="470"/>
      <c r="R31" s="471"/>
      <c r="S31" s="469"/>
      <c r="T31" s="470"/>
      <c r="U31" s="471"/>
    </row>
    <row r="32" spans="1:21" ht="15.6" x14ac:dyDescent="0.3">
      <c r="A32" s="45" t="str">
        <f t="shared" si="1"/>
        <v>Unitil</v>
      </c>
      <c r="B32" s="451" t="s">
        <v>342</v>
      </c>
      <c r="C32" s="454" t="s">
        <v>358</v>
      </c>
      <c r="D32" s="481" t="s">
        <v>506</v>
      </c>
      <c r="E32" s="482" t="s">
        <v>506</v>
      </c>
      <c r="F32" s="483" t="s">
        <v>506</v>
      </c>
      <c r="G32" s="481" t="s">
        <v>506</v>
      </c>
      <c r="H32" s="482" t="s">
        <v>506</v>
      </c>
      <c r="I32" s="483" t="s">
        <v>506</v>
      </c>
      <c r="J32" s="484">
        <f t="shared" ref="J32" si="15">IFERROR(((G32-D27)/D27),0)</f>
        <v>0</v>
      </c>
      <c r="K32" s="485">
        <f t="shared" ref="K32" si="16">IFERROR(((H32-E27)/E27),0)</f>
        <v>0</v>
      </c>
      <c r="L32" s="486">
        <f t="shared" ref="L32" si="17">IFERROR(((I32-F27)/F27),0)</f>
        <v>0</v>
      </c>
      <c r="M32" s="481" t="s">
        <v>506</v>
      </c>
      <c r="N32" s="482" t="s">
        <v>506</v>
      </c>
      <c r="O32" s="483" t="s">
        <v>506</v>
      </c>
      <c r="P32" s="481" t="s">
        <v>506</v>
      </c>
      <c r="Q32" s="482" t="s">
        <v>506</v>
      </c>
      <c r="R32" s="483" t="s">
        <v>506</v>
      </c>
      <c r="S32" s="481" t="s">
        <v>506</v>
      </c>
      <c r="T32" s="482" t="s">
        <v>506</v>
      </c>
      <c r="U32" s="483" t="s">
        <v>506</v>
      </c>
    </row>
    <row r="33" spans="1:21" ht="15.6" x14ac:dyDescent="0.3">
      <c r="A33" s="45" t="str">
        <f t="shared" si="1"/>
        <v>Unitil</v>
      </c>
      <c r="B33" s="451" t="s">
        <v>342</v>
      </c>
      <c r="C33" s="454" t="s">
        <v>380</v>
      </c>
      <c r="D33" s="462"/>
      <c r="E33" s="457"/>
      <c r="F33" s="458"/>
      <c r="G33" s="456"/>
      <c r="H33" s="457"/>
      <c r="I33" s="458"/>
      <c r="J33" s="459">
        <f t="shared" si="9"/>
        <v>0</v>
      </c>
      <c r="K33" s="460">
        <f t="shared" si="10"/>
        <v>0</v>
      </c>
      <c r="L33" s="461">
        <f t="shared" si="11"/>
        <v>0</v>
      </c>
      <c r="M33" s="462"/>
      <c r="N33" s="457"/>
      <c r="O33" s="458"/>
      <c r="P33" s="462"/>
      <c r="Q33" s="457"/>
      <c r="R33" s="458"/>
      <c r="S33" s="462"/>
      <c r="T33" s="457"/>
      <c r="U33" s="458"/>
    </row>
    <row r="34" spans="1:21" ht="15.6" x14ac:dyDescent="0.3">
      <c r="A34" s="45" t="str">
        <f t="shared" si="1"/>
        <v>Unitil</v>
      </c>
      <c r="B34" s="451" t="s">
        <v>341</v>
      </c>
      <c r="C34" s="454"/>
      <c r="D34" s="463"/>
      <c r="E34" s="464"/>
      <c r="F34" s="465"/>
      <c r="G34" s="456"/>
      <c r="H34" s="457"/>
      <c r="I34" s="458"/>
      <c r="J34" s="459">
        <f t="shared" si="9"/>
        <v>-1</v>
      </c>
      <c r="K34" s="460">
        <f t="shared" si="10"/>
        <v>-1</v>
      </c>
      <c r="L34" s="461">
        <f t="shared" si="11"/>
        <v>-1</v>
      </c>
      <c r="M34" s="463"/>
      <c r="N34" s="464"/>
      <c r="O34" s="465"/>
      <c r="P34" s="463"/>
      <c r="Q34" s="464"/>
      <c r="R34" s="465"/>
      <c r="S34" s="463"/>
      <c r="T34" s="464"/>
      <c r="U34" s="465"/>
    </row>
    <row r="35" spans="1:21" ht="15.6" x14ac:dyDescent="0.3">
      <c r="A35" s="45" t="str">
        <f t="shared" si="1"/>
        <v>Unitil</v>
      </c>
      <c r="B35" s="451" t="s">
        <v>362</v>
      </c>
      <c r="C35" s="454" t="s">
        <v>337</v>
      </c>
      <c r="D35" s="520">
        <v>1</v>
      </c>
      <c r="E35" s="521">
        <v>289000</v>
      </c>
      <c r="F35" s="522">
        <v>289000</v>
      </c>
      <c r="G35" s="481">
        <v>0</v>
      </c>
      <c r="H35" s="482">
        <v>3393.87</v>
      </c>
      <c r="I35" s="483">
        <v>0</v>
      </c>
      <c r="J35" s="484">
        <f t="shared" si="9"/>
        <v>0</v>
      </c>
      <c r="K35" s="485">
        <f t="shared" si="10"/>
        <v>0</v>
      </c>
      <c r="L35" s="486">
        <f t="shared" si="11"/>
        <v>0</v>
      </c>
      <c r="M35" s="520">
        <v>3</v>
      </c>
      <c r="N35" s="521">
        <v>753000</v>
      </c>
      <c r="O35" s="522">
        <f>N35+H35</f>
        <v>756393.87</v>
      </c>
      <c r="P35" s="520">
        <v>0</v>
      </c>
      <c r="Q35" s="521">
        <v>0</v>
      </c>
      <c r="R35" s="522">
        <v>0</v>
      </c>
      <c r="S35" s="520">
        <v>0</v>
      </c>
      <c r="T35" s="521">
        <v>0</v>
      </c>
      <c r="U35" s="522">
        <v>0</v>
      </c>
    </row>
    <row r="36" spans="1:21" ht="15.6" x14ac:dyDescent="0.3">
      <c r="A36" s="45" t="str">
        <f t="shared" si="1"/>
        <v>Unitil</v>
      </c>
      <c r="B36" s="451" t="s">
        <v>11</v>
      </c>
      <c r="C36" s="454" t="s">
        <v>360</v>
      </c>
      <c r="D36" s="520"/>
      <c r="E36" s="521">
        <v>50000</v>
      </c>
      <c r="F36" s="521">
        <v>50000</v>
      </c>
      <c r="G36" s="481"/>
      <c r="H36" s="482">
        <v>9216</v>
      </c>
      <c r="I36" s="483">
        <v>0</v>
      </c>
      <c r="J36" s="484">
        <f t="shared" si="9"/>
        <v>0</v>
      </c>
      <c r="K36" s="485">
        <f t="shared" si="10"/>
        <v>0</v>
      </c>
      <c r="L36" s="486">
        <f t="shared" si="11"/>
        <v>0</v>
      </c>
      <c r="M36" s="520"/>
      <c r="N36" s="521">
        <v>28835</v>
      </c>
      <c r="O36" s="522">
        <f>N36+H36</f>
        <v>38051</v>
      </c>
      <c r="P36" s="520"/>
      <c r="Q36" s="521">
        <v>0</v>
      </c>
      <c r="R36" s="522">
        <v>0</v>
      </c>
      <c r="S36" s="520"/>
      <c r="T36" s="521">
        <v>0</v>
      </c>
      <c r="U36" s="522">
        <v>0</v>
      </c>
    </row>
    <row r="37" spans="1:21" ht="15.6" x14ac:dyDescent="0.3">
      <c r="A37" s="45" t="str">
        <f t="shared" si="1"/>
        <v>Unitil</v>
      </c>
      <c r="B37" s="451" t="s">
        <v>350</v>
      </c>
      <c r="C37" s="454" t="s">
        <v>363</v>
      </c>
      <c r="D37" s="776"/>
      <c r="E37" s="482">
        <v>75000</v>
      </c>
      <c r="F37" s="483">
        <v>75000</v>
      </c>
      <c r="G37" s="481"/>
      <c r="H37" s="482">
        <v>10193</v>
      </c>
      <c r="I37" s="483"/>
      <c r="J37" s="629">
        <f t="shared" ref="J37:L38" si="18">IFERROR(((G37-D30)/D30),0)</f>
        <v>0</v>
      </c>
      <c r="K37" s="630">
        <f t="shared" si="18"/>
        <v>0</v>
      </c>
      <c r="L37" s="631">
        <f t="shared" si="18"/>
        <v>0</v>
      </c>
      <c r="M37" s="776"/>
      <c r="N37" s="482">
        <v>75000</v>
      </c>
      <c r="O37" s="483">
        <v>75000</v>
      </c>
      <c r="P37" s="776"/>
      <c r="Q37" s="482">
        <v>75000</v>
      </c>
      <c r="R37" s="483">
        <v>75000</v>
      </c>
      <c r="S37" s="776"/>
      <c r="T37" s="482">
        <v>75000</v>
      </c>
      <c r="U37" s="483">
        <v>75000</v>
      </c>
    </row>
    <row r="38" spans="1:21" s="123" customFormat="1" ht="15.6" x14ac:dyDescent="0.3">
      <c r="A38" s="45" t="str">
        <f t="shared" si="1"/>
        <v>Unitil</v>
      </c>
      <c r="B38" s="451" t="s">
        <v>350</v>
      </c>
      <c r="C38" s="454" t="s">
        <v>354</v>
      </c>
      <c r="D38" s="776"/>
      <c r="E38" s="482">
        <v>0</v>
      </c>
      <c r="F38" s="483">
        <v>0</v>
      </c>
      <c r="G38" s="481"/>
      <c r="H38" s="482">
        <v>0</v>
      </c>
      <c r="I38" s="483"/>
      <c r="J38" s="629">
        <f t="shared" si="18"/>
        <v>0</v>
      </c>
      <c r="K38" s="630">
        <f t="shared" si="18"/>
        <v>0</v>
      </c>
      <c r="L38" s="631">
        <f t="shared" si="18"/>
        <v>0</v>
      </c>
      <c r="M38" s="776"/>
      <c r="N38" s="482">
        <v>0</v>
      </c>
      <c r="O38" s="483">
        <v>0</v>
      </c>
      <c r="P38" s="776"/>
      <c r="Q38" s="482">
        <v>0</v>
      </c>
      <c r="R38" s="483">
        <v>0</v>
      </c>
      <c r="S38" s="776"/>
      <c r="T38" s="482">
        <v>0</v>
      </c>
      <c r="U38" s="483">
        <v>0</v>
      </c>
    </row>
    <row r="39" spans="1:21" s="123" customFormat="1" ht="15.6" x14ac:dyDescent="0.3">
      <c r="A39" s="45" t="str">
        <f t="shared" si="1"/>
        <v>Unitil</v>
      </c>
      <c r="B39" s="451" t="s">
        <v>350</v>
      </c>
      <c r="C39" s="454" t="s">
        <v>381</v>
      </c>
      <c r="D39" s="462"/>
      <c r="E39" s="457"/>
      <c r="F39" s="458"/>
      <c r="G39" s="456"/>
      <c r="H39" s="457"/>
      <c r="I39" s="458"/>
      <c r="J39" s="466">
        <f t="shared" ref="J39" si="19">IFERROR(((G39-D32)/D32),0)</f>
        <v>0</v>
      </c>
      <c r="K39" s="467">
        <f t="shared" ref="K39" si="20">IFERROR(((H39-E32)/E32),0)</f>
        <v>0</v>
      </c>
      <c r="L39" s="468">
        <f t="shared" ref="L39" si="21">IFERROR(((I39-F32)/F32),0)</f>
        <v>0</v>
      </c>
      <c r="M39" s="462"/>
      <c r="N39" s="457"/>
      <c r="O39" s="458"/>
      <c r="P39" s="462"/>
      <c r="Q39" s="457"/>
      <c r="R39" s="458"/>
      <c r="S39" s="462"/>
      <c r="T39" s="457"/>
      <c r="U39" s="458"/>
    </row>
    <row r="40" spans="1:21" s="123" customFormat="1" ht="15.6" x14ac:dyDescent="0.3">
      <c r="A40" s="45" t="str">
        <f t="shared" si="1"/>
        <v>Unitil</v>
      </c>
      <c r="B40" s="451" t="s">
        <v>351</v>
      </c>
      <c r="C40" s="454" t="s">
        <v>351</v>
      </c>
      <c r="D40" s="776">
        <v>0</v>
      </c>
      <c r="E40" s="482">
        <v>2345532</v>
      </c>
      <c r="F40" s="483">
        <v>2345532</v>
      </c>
      <c r="G40" s="481"/>
      <c r="H40" s="482">
        <v>76270</v>
      </c>
      <c r="I40" s="483">
        <v>0</v>
      </c>
      <c r="J40" s="629">
        <f t="shared" ref="J40:L42" si="22">IFERROR(((G40-D32)/D32),0)</f>
        <v>0</v>
      </c>
      <c r="K40" s="630">
        <f t="shared" si="22"/>
        <v>0</v>
      </c>
      <c r="L40" s="631">
        <f t="shared" si="22"/>
        <v>0</v>
      </c>
      <c r="M40" s="776"/>
      <c r="N40" s="482" t="s">
        <v>510</v>
      </c>
      <c r="O40" s="483" t="s">
        <v>510</v>
      </c>
      <c r="P40" s="776"/>
      <c r="Q40" s="482" t="s">
        <v>510</v>
      </c>
      <c r="R40" s="483" t="s">
        <v>510</v>
      </c>
      <c r="S40" s="776"/>
      <c r="T40" s="482" t="s">
        <v>510</v>
      </c>
      <c r="U40" s="483" t="s">
        <v>510</v>
      </c>
    </row>
    <row r="41" spans="1:21" s="123" customFormat="1" ht="15.6" x14ac:dyDescent="0.3">
      <c r="A41" s="45" t="str">
        <f t="shared" si="1"/>
        <v>Unitil</v>
      </c>
      <c r="B41" s="451" t="s">
        <v>352</v>
      </c>
      <c r="C41" s="454" t="s">
        <v>352</v>
      </c>
      <c r="D41" s="776"/>
      <c r="E41" s="482">
        <v>241000</v>
      </c>
      <c r="F41" s="483">
        <v>241000</v>
      </c>
      <c r="G41" s="481"/>
      <c r="H41" s="482">
        <v>31237.91</v>
      </c>
      <c r="I41" s="483">
        <v>0</v>
      </c>
      <c r="J41" s="629">
        <f t="shared" si="22"/>
        <v>0</v>
      </c>
      <c r="K41" s="630">
        <f t="shared" si="22"/>
        <v>0</v>
      </c>
      <c r="L41" s="631">
        <f t="shared" si="22"/>
        <v>0</v>
      </c>
      <c r="M41" s="776"/>
      <c r="N41" s="482">
        <v>191000</v>
      </c>
      <c r="O41" s="483">
        <f>N41+H41</f>
        <v>222237.91</v>
      </c>
      <c r="P41" s="776"/>
      <c r="Q41" s="482">
        <v>420000</v>
      </c>
      <c r="R41" s="483">
        <f>Q41</f>
        <v>420000</v>
      </c>
      <c r="S41" s="776"/>
      <c r="T41" s="482">
        <v>1011000</v>
      </c>
      <c r="U41" s="483">
        <f>T41</f>
        <v>1011000</v>
      </c>
    </row>
    <row r="42" spans="1:21" s="123" customFormat="1" ht="16.2" thickBot="1" x14ac:dyDescent="0.35">
      <c r="A42" s="46" t="str">
        <f t="shared" si="1"/>
        <v>Unitil</v>
      </c>
      <c r="B42" s="452" t="s">
        <v>353</v>
      </c>
      <c r="C42" s="455" t="s">
        <v>353</v>
      </c>
      <c r="D42" s="625">
        <v>0</v>
      </c>
      <c r="E42" s="626">
        <v>466000</v>
      </c>
      <c r="F42" s="627">
        <v>0</v>
      </c>
      <c r="G42" s="628">
        <v>0</v>
      </c>
      <c r="H42" s="626">
        <v>0</v>
      </c>
      <c r="I42" s="627">
        <v>0</v>
      </c>
      <c r="J42" s="629">
        <f t="shared" si="22"/>
        <v>0</v>
      </c>
      <c r="K42" s="630">
        <f t="shared" si="22"/>
        <v>0</v>
      </c>
      <c r="L42" s="631">
        <f t="shared" si="22"/>
        <v>0</v>
      </c>
      <c r="M42" s="625">
        <v>0</v>
      </c>
      <c r="N42" s="626">
        <v>0</v>
      </c>
      <c r="O42" s="627">
        <v>0</v>
      </c>
      <c r="P42" s="625"/>
      <c r="Q42" s="626">
        <v>466000</v>
      </c>
      <c r="R42" s="627">
        <v>466000</v>
      </c>
      <c r="S42" s="625"/>
      <c r="T42" s="626">
        <v>78000</v>
      </c>
      <c r="U42" s="627">
        <v>78000</v>
      </c>
    </row>
    <row r="43" spans="1:21" ht="15" thickBot="1" x14ac:dyDescent="0.35">
      <c r="C43" s="439" t="s">
        <v>228</v>
      </c>
      <c r="D43" s="280">
        <f>SUM(D9:D42)</f>
        <v>73</v>
      </c>
      <c r="E43" s="280">
        <f t="shared" ref="E43:I43" si="23">SUM(E9:E42)</f>
        <v>5114532</v>
      </c>
      <c r="F43" s="281">
        <f t="shared" si="23"/>
        <v>4648532</v>
      </c>
      <c r="G43" s="276">
        <f t="shared" si="23"/>
        <v>67</v>
      </c>
      <c r="H43" s="277">
        <f t="shared" si="23"/>
        <v>724643.87</v>
      </c>
      <c r="I43" s="278">
        <f t="shared" si="23"/>
        <v>491958.41000000003</v>
      </c>
      <c r="J43" s="282"/>
      <c r="K43" s="283"/>
      <c r="L43" s="284"/>
      <c r="M43" s="280">
        <f>SUM(M9:M42)</f>
        <v>99</v>
      </c>
      <c r="N43" s="280">
        <f t="shared" ref="N43" si="24">SUM(N9:N42)</f>
        <v>2763403</v>
      </c>
      <c r="O43" s="281">
        <f t="shared" ref="O43" si="25">SUM(O9:O42)</f>
        <v>2807250.7800000003</v>
      </c>
      <c r="P43" s="280">
        <f>SUM(P9:P42)</f>
        <v>3</v>
      </c>
      <c r="Q43" s="280">
        <f t="shared" ref="Q43" si="26">SUM(Q9:Q42)</f>
        <v>1383127</v>
      </c>
      <c r="R43" s="281">
        <f t="shared" ref="R43" si="27">SUM(R9:R42)</f>
        <v>1383127</v>
      </c>
      <c r="S43" s="280">
        <f>SUM(S9:S42)</f>
        <v>16</v>
      </c>
      <c r="T43" s="280">
        <f t="shared" ref="T43" si="28">SUM(T9:T42)</f>
        <v>2100946</v>
      </c>
      <c r="U43" s="281">
        <f t="shared" ref="U43" si="29">SUM(U9:U42)</f>
        <v>2100946</v>
      </c>
    </row>
    <row r="45" spans="1:21" ht="15" thickBot="1" x14ac:dyDescent="0.35">
      <c r="A45" s="123" t="s">
        <v>508</v>
      </c>
      <c r="B45" s="359"/>
      <c r="C45" s="123"/>
      <c r="D45" s="443"/>
      <c r="E45" s="444"/>
      <c r="F45" s="444"/>
      <c r="G45" s="443"/>
      <c r="H45" s="444"/>
      <c r="I45" s="123"/>
    </row>
    <row r="46" spans="1:21" ht="15" thickBot="1" x14ac:dyDescent="0.35">
      <c r="A46" s="123" t="s">
        <v>509</v>
      </c>
      <c r="B46" s="359"/>
      <c r="C46" s="123"/>
      <c r="D46" s="476" t="s">
        <v>252</v>
      </c>
      <c r="E46" s="444"/>
      <c r="F46" s="444"/>
      <c r="G46" s="443"/>
      <c r="H46" s="444"/>
      <c r="I46" s="123"/>
    </row>
    <row r="47" spans="1:21" ht="15" thickBot="1" x14ac:dyDescent="0.35">
      <c r="B47" s="123"/>
      <c r="C47" s="123"/>
      <c r="D47" s="477">
        <v>2022</v>
      </c>
      <c r="E47" s="444"/>
      <c r="F47" s="444"/>
      <c r="G47" s="443"/>
      <c r="H47" s="444"/>
      <c r="I47" s="123"/>
    </row>
    <row r="48" spans="1:21" ht="15" thickBot="1" x14ac:dyDescent="0.35">
      <c r="B48" s="121" t="s">
        <v>223</v>
      </c>
      <c r="C48" s="121" t="s">
        <v>254</v>
      </c>
      <c r="D48" s="478" t="s">
        <v>232</v>
      </c>
      <c r="E48" s="444"/>
      <c r="F48" s="444"/>
      <c r="G48" s="443"/>
      <c r="H48" s="444"/>
      <c r="I48" s="123"/>
    </row>
    <row r="49" spans="2:9" x14ac:dyDescent="0.3">
      <c r="B49" s="389" t="s">
        <v>343</v>
      </c>
      <c r="C49" s="389" t="s">
        <v>255</v>
      </c>
      <c r="D49" s="814">
        <v>3875.81</v>
      </c>
      <c r="E49" s="444"/>
      <c r="F49" s="444"/>
      <c r="G49" s="443"/>
      <c r="H49" s="444"/>
      <c r="I49" s="123"/>
    </row>
    <row r="50" spans="2:9" x14ac:dyDescent="0.3">
      <c r="B50" s="389"/>
      <c r="C50" s="389" t="s">
        <v>256</v>
      </c>
      <c r="D50" s="814">
        <v>97460.87</v>
      </c>
      <c r="E50" s="444"/>
      <c r="F50" s="444"/>
      <c r="G50" s="443"/>
      <c r="H50" s="444"/>
      <c r="I50" s="123"/>
    </row>
    <row r="51" spans="2:9" ht="15" thickBot="1" x14ac:dyDescent="0.35">
      <c r="B51" s="393"/>
      <c r="C51" s="394" t="s">
        <v>257</v>
      </c>
      <c r="D51" s="815">
        <f>SUM(D49:D50)</f>
        <v>101336.68</v>
      </c>
      <c r="E51" s="444"/>
      <c r="F51" s="444"/>
      <c r="G51" s="443"/>
      <c r="H51" s="444"/>
      <c r="I51" s="123"/>
    </row>
    <row r="52" spans="2:9" x14ac:dyDescent="0.3">
      <c r="B52" s="389" t="s">
        <v>7</v>
      </c>
      <c r="C52" s="389" t="s">
        <v>255</v>
      </c>
      <c r="D52" s="777"/>
      <c r="E52" s="444"/>
      <c r="F52" s="444"/>
      <c r="G52" s="443"/>
      <c r="H52" s="444"/>
      <c r="I52" s="123"/>
    </row>
    <row r="53" spans="2:9" x14ac:dyDescent="0.3">
      <c r="B53" s="389"/>
      <c r="C53" s="389" t="s">
        <v>256</v>
      </c>
      <c r="D53" s="777"/>
      <c r="E53" s="444"/>
      <c r="F53" s="444"/>
      <c r="G53" s="443"/>
      <c r="H53" s="444"/>
      <c r="I53" s="123"/>
    </row>
    <row r="54" spans="2:9" ht="15" thickBot="1" x14ac:dyDescent="0.35">
      <c r="B54" s="393"/>
      <c r="C54" s="394" t="s">
        <v>257</v>
      </c>
      <c r="D54" s="778">
        <f>SUM(D52:D53)</f>
        <v>0</v>
      </c>
      <c r="E54" s="444"/>
      <c r="F54" s="444"/>
      <c r="G54" s="443"/>
      <c r="H54" s="444"/>
      <c r="I54" s="123"/>
    </row>
    <row r="55" spans="2:9" x14ac:dyDescent="0.3">
      <c r="B55" s="389" t="s">
        <v>8</v>
      </c>
      <c r="C55" s="389" t="s">
        <v>255</v>
      </c>
      <c r="D55" s="779">
        <v>104822.46</v>
      </c>
      <c r="E55" s="444"/>
      <c r="F55" s="444"/>
      <c r="G55" s="443"/>
      <c r="H55" s="444"/>
      <c r="I55" s="123"/>
    </row>
    <row r="56" spans="2:9" x14ac:dyDescent="0.3">
      <c r="B56" s="389"/>
      <c r="C56" s="389" t="s">
        <v>256</v>
      </c>
      <c r="D56" s="779">
        <v>145010.99</v>
      </c>
      <c r="E56" s="444"/>
      <c r="F56" s="444"/>
      <c r="G56" s="443"/>
      <c r="H56" s="444"/>
      <c r="I56" s="123"/>
    </row>
    <row r="57" spans="2:9" ht="15" thickBot="1" x14ac:dyDescent="0.35">
      <c r="B57" s="393"/>
      <c r="C57" s="394" t="s">
        <v>257</v>
      </c>
      <c r="D57" s="781">
        <v>249833</v>
      </c>
      <c r="E57" s="444"/>
      <c r="F57" s="444"/>
      <c r="G57" s="443"/>
      <c r="H57" s="444"/>
      <c r="I57" s="123"/>
    </row>
    <row r="58" spans="2:9" x14ac:dyDescent="0.3">
      <c r="B58" s="389" t="s">
        <v>9</v>
      </c>
      <c r="C58" s="389" t="s">
        <v>255</v>
      </c>
      <c r="D58" s="428">
        <v>3900.95</v>
      </c>
      <c r="E58" s="444"/>
      <c r="F58" s="444"/>
      <c r="G58" s="443"/>
      <c r="H58" s="444"/>
      <c r="I58" s="123"/>
    </row>
    <row r="59" spans="2:9" x14ac:dyDescent="0.3">
      <c r="B59" s="389"/>
      <c r="C59" s="389" t="s">
        <v>256</v>
      </c>
      <c r="D59" s="428">
        <v>54882</v>
      </c>
      <c r="E59" s="444"/>
      <c r="F59" s="444"/>
      <c r="G59" s="443"/>
      <c r="H59" s="444"/>
      <c r="I59" s="123"/>
    </row>
    <row r="60" spans="2:9" ht="15" thickBot="1" x14ac:dyDescent="0.35">
      <c r="B60" s="393"/>
      <c r="C60" s="394" t="s">
        <v>257</v>
      </c>
      <c r="D60" s="414">
        <f>SUM(D58:D59)</f>
        <v>58782.95</v>
      </c>
      <c r="E60" s="444"/>
      <c r="F60" s="444"/>
      <c r="G60" s="443"/>
      <c r="H60" s="444"/>
      <c r="I60" s="123"/>
    </row>
    <row r="61" spans="2:9" x14ac:dyDescent="0.3">
      <c r="B61" s="389" t="s">
        <v>335</v>
      </c>
      <c r="C61" s="389" t="s">
        <v>255</v>
      </c>
      <c r="D61" s="777"/>
      <c r="E61" s="444"/>
      <c r="F61" s="444"/>
      <c r="G61" s="443"/>
      <c r="H61" s="444"/>
      <c r="I61" s="123"/>
    </row>
    <row r="62" spans="2:9" x14ac:dyDescent="0.3">
      <c r="B62" s="389"/>
      <c r="C62" s="389" t="s">
        <v>256</v>
      </c>
      <c r="D62" s="777"/>
      <c r="E62" s="444"/>
      <c r="F62" s="444"/>
      <c r="G62" s="443"/>
      <c r="H62" s="444"/>
      <c r="I62" s="123"/>
    </row>
    <row r="63" spans="2:9" ht="15" thickBot="1" x14ac:dyDescent="0.35">
      <c r="B63" s="393"/>
      <c r="C63" s="394" t="s">
        <v>257</v>
      </c>
      <c r="D63" s="778">
        <f>SUM(D61:D62)</f>
        <v>0</v>
      </c>
      <c r="E63" s="444"/>
      <c r="F63" s="444"/>
      <c r="G63" s="443"/>
      <c r="H63" s="444"/>
      <c r="I63" s="123"/>
    </row>
    <row r="64" spans="2:9" x14ac:dyDescent="0.3">
      <c r="B64" s="389" t="s">
        <v>10</v>
      </c>
      <c r="C64" s="389" t="s">
        <v>255</v>
      </c>
      <c r="D64" s="779">
        <v>0</v>
      </c>
      <c r="E64" s="444"/>
      <c r="F64" s="444"/>
      <c r="G64" s="443"/>
      <c r="H64" s="444"/>
      <c r="I64" s="123"/>
    </row>
    <row r="65" spans="2:9" x14ac:dyDescent="0.3">
      <c r="B65" s="389"/>
      <c r="C65" s="389" t="s">
        <v>256</v>
      </c>
      <c r="D65" s="779">
        <v>76270</v>
      </c>
      <c r="E65" s="444"/>
      <c r="F65" s="444"/>
      <c r="G65" s="443"/>
      <c r="H65" s="444"/>
      <c r="I65" s="123"/>
    </row>
    <row r="66" spans="2:9" ht="15" thickBot="1" x14ac:dyDescent="0.35">
      <c r="B66" s="393"/>
      <c r="C66" s="394" t="s">
        <v>257</v>
      </c>
      <c r="D66" s="781">
        <f>SUM(D64:D65)</f>
        <v>76270</v>
      </c>
      <c r="E66" s="444"/>
      <c r="F66" s="444"/>
      <c r="G66" s="443"/>
      <c r="H66" s="444"/>
      <c r="I66" s="123"/>
    </row>
    <row r="67" spans="2:9" x14ac:dyDescent="0.3">
      <c r="B67" s="389" t="s">
        <v>336</v>
      </c>
      <c r="C67" s="389" t="s">
        <v>255</v>
      </c>
      <c r="D67" s="777"/>
      <c r="E67" s="444"/>
      <c r="F67" s="444"/>
      <c r="G67" s="443"/>
      <c r="H67" s="444"/>
      <c r="I67" s="123"/>
    </row>
    <row r="68" spans="2:9" x14ac:dyDescent="0.3">
      <c r="B68" s="389"/>
      <c r="C68" s="389" t="s">
        <v>256</v>
      </c>
      <c r="D68" s="777"/>
      <c r="E68" s="444"/>
      <c r="F68" s="444"/>
      <c r="G68" s="443"/>
      <c r="H68" s="444"/>
      <c r="I68" s="123"/>
    </row>
    <row r="69" spans="2:9" ht="15" thickBot="1" x14ac:dyDescent="0.35">
      <c r="B69" s="393"/>
      <c r="C69" s="394" t="s">
        <v>257</v>
      </c>
      <c r="D69" s="778">
        <f>SUM(D67:D68)</f>
        <v>0</v>
      </c>
      <c r="E69" s="444"/>
      <c r="F69" s="444"/>
      <c r="G69" s="443"/>
      <c r="H69" s="444"/>
      <c r="I69" s="123"/>
    </row>
    <row r="70" spans="2:9" x14ac:dyDescent="0.3">
      <c r="B70" s="389" t="s">
        <v>349</v>
      </c>
      <c r="C70" s="389" t="s">
        <v>255</v>
      </c>
      <c r="D70" s="428"/>
      <c r="E70" s="444"/>
      <c r="F70" s="444"/>
      <c r="G70" s="443"/>
      <c r="H70" s="444"/>
      <c r="I70" s="123"/>
    </row>
    <row r="71" spans="2:9" x14ac:dyDescent="0.3">
      <c r="B71" s="389"/>
      <c r="C71" s="389" t="s">
        <v>256</v>
      </c>
      <c r="D71" s="428"/>
      <c r="E71" s="444"/>
      <c r="F71" s="444"/>
      <c r="G71" s="443"/>
      <c r="H71" s="444"/>
      <c r="I71" s="123"/>
    </row>
    <row r="72" spans="2:9" ht="15" thickBot="1" x14ac:dyDescent="0.35">
      <c r="B72" s="393"/>
      <c r="C72" s="394" t="s">
        <v>257</v>
      </c>
      <c r="D72" s="414">
        <f>SUM(D70:D71)</f>
        <v>0</v>
      </c>
      <c r="E72" s="444"/>
      <c r="F72" s="444"/>
      <c r="G72" s="443"/>
      <c r="H72" s="444"/>
      <c r="I72" s="123"/>
    </row>
    <row r="73" spans="2:9" x14ac:dyDescent="0.3">
      <c r="B73" s="389" t="s">
        <v>341</v>
      </c>
      <c r="C73" s="389" t="s">
        <v>255</v>
      </c>
      <c r="D73" s="777"/>
      <c r="E73" s="444"/>
      <c r="F73" s="444"/>
      <c r="G73" s="443"/>
      <c r="H73" s="444"/>
      <c r="I73" s="123"/>
    </row>
    <row r="74" spans="2:9" x14ac:dyDescent="0.3">
      <c r="B74" s="389"/>
      <c r="C74" s="389" t="s">
        <v>256</v>
      </c>
      <c r="D74" s="777"/>
      <c r="E74" s="444"/>
      <c r="F74" s="444"/>
      <c r="G74" s="443"/>
      <c r="H74" s="444"/>
      <c r="I74" s="123"/>
    </row>
    <row r="75" spans="2:9" ht="15" thickBot="1" x14ac:dyDescent="0.35">
      <c r="B75" s="393"/>
      <c r="C75" s="394" t="s">
        <v>257</v>
      </c>
      <c r="D75" s="778"/>
      <c r="E75" s="444"/>
      <c r="F75" s="444"/>
      <c r="G75" s="443"/>
      <c r="H75" s="444"/>
      <c r="I75" s="123"/>
    </row>
    <row r="76" spans="2:9" x14ac:dyDescent="0.3">
      <c r="B76" s="389" t="s">
        <v>337</v>
      </c>
      <c r="C76" s="389" t="s">
        <v>255</v>
      </c>
      <c r="D76" s="428">
        <v>0</v>
      </c>
      <c r="E76" s="444"/>
      <c r="F76" s="444"/>
      <c r="G76" s="443"/>
      <c r="H76" s="444"/>
      <c r="I76" s="123"/>
    </row>
    <row r="77" spans="2:9" x14ac:dyDescent="0.3">
      <c r="B77" s="389"/>
      <c r="C77" s="389" t="s">
        <v>256</v>
      </c>
      <c r="D77" s="428">
        <v>3393.87</v>
      </c>
      <c r="E77" s="444"/>
      <c r="F77" s="444"/>
      <c r="G77" s="443"/>
      <c r="H77" s="444"/>
      <c r="I77" s="123"/>
    </row>
    <row r="78" spans="2:9" ht="15" thickBot="1" x14ac:dyDescent="0.35">
      <c r="B78" s="393"/>
      <c r="C78" s="394" t="s">
        <v>257</v>
      </c>
      <c r="D78" s="414">
        <f>SUM(D76:D77)</f>
        <v>3393.87</v>
      </c>
      <c r="E78" s="444"/>
      <c r="F78" s="444"/>
      <c r="G78" s="443"/>
      <c r="H78" s="444"/>
      <c r="I78" s="123"/>
    </row>
    <row r="79" spans="2:9" x14ac:dyDescent="0.3">
      <c r="B79" s="389" t="s">
        <v>11</v>
      </c>
      <c r="C79" s="389" t="s">
        <v>255</v>
      </c>
      <c r="D79" s="428">
        <v>1216</v>
      </c>
      <c r="E79" s="444"/>
      <c r="F79" s="444"/>
      <c r="G79" s="443"/>
      <c r="H79" s="444"/>
      <c r="I79" s="123"/>
    </row>
    <row r="80" spans="2:9" x14ac:dyDescent="0.3">
      <c r="B80" s="389"/>
      <c r="C80" s="389" t="s">
        <v>256</v>
      </c>
      <c r="D80" s="428">
        <v>8000</v>
      </c>
      <c r="E80" s="444"/>
      <c r="F80" s="444"/>
      <c r="G80" s="443"/>
      <c r="H80" s="444"/>
      <c r="I80" s="123"/>
    </row>
    <row r="81" spans="2:9" ht="15" thickBot="1" x14ac:dyDescent="0.35">
      <c r="B81" s="393"/>
      <c r="C81" s="394" t="s">
        <v>257</v>
      </c>
      <c r="D81" s="424">
        <f>SUM(D79:D80)</f>
        <v>9216</v>
      </c>
      <c r="E81" s="444"/>
      <c r="F81" s="444"/>
      <c r="G81" s="443"/>
      <c r="H81" s="444"/>
      <c r="I81" s="123"/>
    </row>
    <row r="82" spans="2:9" x14ac:dyDescent="0.3">
      <c r="B82" s="389" t="s">
        <v>350</v>
      </c>
      <c r="C82" s="389" t="s">
        <v>255</v>
      </c>
      <c r="D82" s="428"/>
      <c r="E82" s="444"/>
      <c r="F82" s="444"/>
      <c r="G82" s="443"/>
      <c r="H82" s="444"/>
      <c r="I82" s="123"/>
    </row>
    <row r="83" spans="2:9" x14ac:dyDescent="0.3">
      <c r="B83" s="389"/>
      <c r="C83" s="389" t="s">
        <v>256</v>
      </c>
      <c r="D83" s="428"/>
      <c r="E83" s="444"/>
      <c r="F83" s="444"/>
      <c r="G83" s="443"/>
      <c r="H83" s="444"/>
      <c r="I83" s="123"/>
    </row>
    <row r="84" spans="2:9" ht="15" thickBot="1" x14ac:dyDescent="0.35">
      <c r="B84" s="393"/>
      <c r="C84" s="394" t="s">
        <v>257</v>
      </c>
      <c r="D84" s="424">
        <f>SUM(D82:D83)</f>
        <v>0</v>
      </c>
      <c r="E84" s="444"/>
      <c r="F84" s="444"/>
      <c r="G84" s="443"/>
      <c r="H84" s="444"/>
      <c r="I84" s="123"/>
    </row>
    <row r="85" spans="2:9" x14ac:dyDescent="0.3">
      <c r="B85" s="389" t="s">
        <v>351</v>
      </c>
      <c r="C85" s="389" t="s">
        <v>255</v>
      </c>
      <c r="D85" s="779">
        <v>0</v>
      </c>
      <c r="E85" s="444"/>
      <c r="F85" s="444"/>
      <c r="G85" s="443"/>
      <c r="H85" s="444"/>
      <c r="I85" s="123"/>
    </row>
    <row r="86" spans="2:9" x14ac:dyDescent="0.3">
      <c r="B86" s="389"/>
      <c r="C86" s="389" t="s">
        <v>256</v>
      </c>
      <c r="D86" s="779">
        <v>76270</v>
      </c>
      <c r="E86" s="444"/>
      <c r="F86" s="444"/>
      <c r="G86" s="443"/>
      <c r="H86" s="444"/>
      <c r="I86" s="123"/>
    </row>
    <row r="87" spans="2:9" ht="15" thickBot="1" x14ac:dyDescent="0.35">
      <c r="B87" s="393"/>
      <c r="C87" s="394" t="s">
        <v>257</v>
      </c>
      <c r="D87" s="780">
        <f>SUM(D85:D86)</f>
        <v>76270</v>
      </c>
      <c r="E87" s="444"/>
      <c r="F87" s="444"/>
      <c r="G87" s="443"/>
      <c r="H87" s="444"/>
      <c r="I87" s="123"/>
    </row>
    <row r="88" spans="2:9" x14ac:dyDescent="0.3">
      <c r="B88" s="389" t="s">
        <v>352</v>
      </c>
      <c r="C88" s="389" t="s">
        <v>255</v>
      </c>
      <c r="D88" s="779">
        <v>25087.53</v>
      </c>
      <c r="E88" s="444"/>
      <c r="F88" s="444"/>
      <c r="G88" s="443"/>
      <c r="H88" s="444"/>
      <c r="I88" s="123"/>
    </row>
    <row r="89" spans="2:9" x14ac:dyDescent="0.3">
      <c r="B89" s="389"/>
      <c r="C89" s="389" t="s">
        <v>256</v>
      </c>
      <c r="D89" s="779">
        <v>6150.38</v>
      </c>
      <c r="E89" s="444"/>
      <c r="F89" s="444"/>
      <c r="G89" s="443"/>
      <c r="H89" s="444"/>
      <c r="I89" s="123"/>
    </row>
    <row r="90" spans="2:9" ht="15" thickBot="1" x14ac:dyDescent="0.35">
      <c r="B90" s="393"/>
      <c r="C90" s="394" t="s">
        <v>257</v>
      </c>
      <c r="D90" s="780">
        <f>SUM(D88:D89)</f>
        <v>31237.91</v>
      </c>
      <c r="E90" s="444"/>
      <c r="F90" s="444"/>
      <c r="G90" s="443"/>
      <c r="H90" s="444"/>
      <c r="I90" s="123"/>
    </row>
    <row r="91" spans="2:9" x14ac:dyDescent="0.3">
      <c r="B91" s="389" t="s">
        <v>353</v>
      </c>
      <c r="C91" s="389" t="s">
        <v>255</v>
      </c>
      <c r="D91" s="779">
        <v>0</v>
      </c>
      <c r="E91" s="444"/>
      <c r="F91" s="444"/>
      <c r="G91" s="443"/>
      <c r="H91" s="444"/>
      <c r="I91" s="123"/>
    </row>
    <row r="92" spans="2:9" x14ac:dyDescent="0.3">
      <c r="B92" s="389"/>
      <c r="C92" s="389" t="s">
        <v>256</v>
      </c>
      <c r="D92" s="779">
        <v>0</v>
      </c>
      <c r="E92" s="444"/>
      <c r="F92" s="444"/>
      <c r="G92" s="443"/>
      <c r="H92" s="444"/>
      <c r="I92" s="123"/>
    </row>
    <row r="93" spans="2:9" ht="15" thickBot="1" x14ac:dyDescent="0.35">
      <c r="B93" s="393"/>
      <c r="C93" s="394" t="s">
        <v>257</v>
      </c>
      <c r="D93" s="780">
        <f>SUM(D91:D92)</f>
        <v>0</v>
      </c>
      <c r="E93" s="444"/>
      <c r="F93" s="444"/>
      <c r="G93" s="443"/>
      <c r="H93" s="444"/>
      <c r="I93" s="123"/>
    </row>
    <row r="94" spans="2:9" x14ac:dyDescent="0.3">
      <c r="B94" s="445" t="s">
        <v>258</v>
      </c>
      <c r="C94" s="389" t="s">
        <v>255</v>
      </c>
      <c r="D94" s="428">
        <f>SUM(D49,D52,D55,D58,D64,D67,D61,D79,D70,D73,D76,D82,D85,D88,D91)</f>
        <v>138902.75</v>
      </c>
      <c r="E94" s="444"/>
      <c r="F94" s="444"/>
      <c r="G94" s="443"/>
      <c r="H94" s="444"/>
      <c r="I94" s="123"/>
    </row>
    <row r="95" spans="2:9" x14ac:dyDescent="0.3">
      <c r="B95" s="389"/>
      <c r="C95" s="389" t="s">
        <v>256</v>
      </c>
      <c r="D95" s="428">
        <f>SUM(D50,D53,D56,D59,D65,D68,D62,D80,D71,D74,D77,D83,D86,D89,D92)</f>
        <v>467438.11</v>
      </c>
      <c r="E95" s="444"/>
      <c r="F95" s="444"/>
      <c r="G95" s="443"/>
      <c r="H95" s="444"/>
      <c r="I95" s="123"/>
    </row>
    <row r="96" spans="2:9" ht="15" thickBot="1" x14ac:dyDescent="0.35">
      <c r="B96" s="393"/>
      <c r="C96" s="394" t="s">
        <v>257</v>
      </c>
      <c r="D96" s="424">
        <f>SUM(D51,D54,D57,D60,D66,D69,D63,D81,D72,D75,D78,D84,D87,D90,D93)</f>
        <v>606340.41</v>
      </c>
      <c r="E96" s="444"/>
      <c r="F96" s="444"/>
      <c r="G96" s="443"/>
      <c r="H96" s="444"/>
      <c r="I96" s="123"/>
    </row>
    <row r="97" spans="2:9" ht="15" thickBot="1" x14ac:dyDescent="0.35">
      <c r="B97" s="123"/>
      <c r="C97" s="123"/>
      <c r="D97" s="123"/>
      <c r="E97" s="444"/>
      <c r="F97" s="444"/>
      <c r="G97" s="443"/>
      <c r="H97" s="444"/>
      <c r="I97" s="123"/>
    </row>
    <row r="98" spans="2:9" ht="15" thickBot="1" x14ac:dyDescent="0.35">
      <c r="B98" s="123"/>
      <c r="C98" s="123"/>
      <c r="D98" s="479" t="s">
        <v>259</v>
      </c>
      <c r="E98" s="444"/>
      <c r="F98" s="444"/>
      <c r="G98" s="443"/>
      <c r="H98" s="444"/>
      <c r="I98" s="123"/>
    </row>
    <row r="99" spans="2:9" ht="15" thickBot="1" x14ac:dyDescent="0.35">
      <c r="B99" s="123"/>
      <c r="C99" s="123"/>
      <c r="D99" s="477">
        <v>2022</v>
      </c>
      <c r="E99" s="444"/>
      <c r="F99" s="444"/>
      <c r="G99" s="443"/>
      <c r="H99" s="444"/>
      <c r="I99" s="123"/>
    </row>
    <row r="100" spans="2:9" ht="15" thickBot="1" x14ac:dyDescent="0.35">
      <c r="B100" s="121" t="s">
        <v>223</v>
      </c>
      <c r="C100" s="399" t="s">
        <v>254</v>
      </c>
      <c r="D100" s="478" t="s">
        <v>232</v>
      </c>
      <c r="E100" s="444"/>
      <c r="F100" s="444"/>
      <c r="G100" s="443"/>
      <c r="H100" s="444"/>
      <c r="I100" s="123"/>
    </row>
    <row r="101" spans="2:9" x14ac:dyDescent="0.3">
      <c r="B101" s="389" t="s">
        <v>343</v>
      </c>
      <c r="C101" s="401" t="s">
        <v>260</v>
      </c>
      <c r="D101" s="428">
        <v>0</v>
      </c>
      <c r="E101" s="444"/>
      <c r="F101" s="444"/>
      <c r="G101" s="443"/>
      <c r="H101" s="444"/>
      <c r="I101" s="123"/>
    </row>
    <row r="102" spans="2:9" x14ac:dyDescent="0.3">
      <c r="B102" s="389"/>
      <c r="C102" s="401" t="s">
        <v>261</v>
      </c>
      <c r="D102" s="428">
        <v>0</v>
      </c>
      <c r="E102" s="444"/>
      <c r="F102" s="444"/>
      <c r="G102" s="443"/>
      <c r="H102" s="444"/>
      <c r="I102" s="123"/>
    </row>
    <row r="103" spans="2:9" ht="15" thickBot="1" x14ac:dyDescent="0.35">
      <c r="B103" s="393"/>
      <c r="C103" s="402" t="s">
        <v>257</v>
      </c>
      <c r="D103" s="414">
        <f>SUM(D101:D102)</f>
        <v>0</v>
      </c>
      <c r="E103" s="444"/>
      <c r="F103" s="444"/>
      <c r="G103" s="443"/>
      <c r="H103" s="444"/>
      <c r="I103" s="123"/>
    </row>
    <row r="104" spans="2:9" x14ac:dyDescent="0.3">
      <c r="B104" s="389" t="s">
        <v>7</v>
      </c>
      <c r="C104" s="401" t="s">
        <v>260</v>
      </c>
      <c r="D104" s="777"/>
      <c r="E104" s="444"/>
      <c r="F104" s="444"/>
      <c r="G104" s="443"/>
      <c r="H104" s="444"/>
      <c r="I104" s="123"/>
    </row>
    <row r="105" spans="2:9" x14ac:dyDescent="0.3">
      <c r="B105" s="389"/>
      <c r="C105" s="401" t="s">
        <v>261</v>
      </c>
      <c r="D105" s="777"/>
      <c r="E105" s="444"/>
      <c r="F105" s="444"/>
      <c r="G105" s="443"/>
      <c r="H105" s="444"/>
      <c r="I105" s="123"/>
    </row>
    <row r="106" spans="2:9" ht="15" thickBot="1" x14ac:dyDescent="0.35">
      <c r="B106" s="393"/>
      <c r="C106" s="402" t="s">
        <v>257</v>
      </c>
      <c r="D106" s="778">
        <f>SUM(D104:D105)</f>
        <v>0</v>
      </c>
      <c r="E106" s="444"/>
      <c r="F106" s="444"/>
      <c r="G106" s="443"/>
      <c r="H106" s="444"/>
      <c r="I106" s="123"/>
    </row>
    <row r="107" spans="2:9" x14ac:dyDescent="0.3">
      <c r="B107" s="389" t="s">
        <v>8</v>
      </c>
      <c r="C107" s="401" t="s">
        <v>260</v>
      </c>
      <c r="D107" s="779">
        <v>0</v>
      </c>
      <c r="E107" s="444"/>
      <c r="F107" s="444"/>
      <c r="G107" s="443"/>
      <c r="H107" s="444"/>
      <c r="I107" s="123"/>
    </row>
    <row r="108" spans="2:9" x14ac:dyDescent="0.3">
      <c r="B108" s="389"/>
      <c r="C108" s="401" t="s">
        <v>261</v>
      </c>
      <c r="D108" s="779">
        <v>7344</v>
      </c>
      <c r="E108" s="444"/>
      <c r="F108" s="444"/>
      <c r="G108" s="443"/>
      <c r="H108" s="444"/>
      <c r="I108" s="123"/>
    </row>
    <row r="109" spans="2:9" ht="15" thickBot="1" x14ac:dyDescent="0.35">
      <c r="B109" s="393"/>
      <c r="C109" s="402" t="s">
        <v>257</v>
      </c>
      <c r="D109" s="781">
        <f>SUM(D107:D108)</f>
        <v>7344</v>
      </c>
      <c r="E109" s="444"/>
      <c r="F109" s="444"/>
      <c r="G109" s="443"/>
      <c r="H109" s="444"/>
      <c r="I109" s="123"/>
    </row>
    <row r="110" spans="2:9" x14ac:dyDescent="0.3">
      <c r="B110" s="389" t="s">
        <v>9</v>
      </c>
      <c r="C110" s="401" t="s">
        <v>260</v>
      </c>
      <c r="D110" s="428">
        <v>0</v>
      </c>
      <c r="E110" s="444"/>
      <c r="F110" s="444"/>
      <c r="G110" s="443"/>
      <c r="H110" s="444"/>
      <c r="I110" s="123"/>
    </row>
    <row r="111" spans="2:9" x14ac:dyDescent="0.3">
      <c r="B111" s="389"/>
      <c r="C111" s="401" t="s">
        <v>261</v>
      </c>
      <c r="D111" s="428">
        <v>60706</v>
      </c>
      <c r="E111" s="444"/>
      <c r="F111" s="444"/>
      <c r="G111" s="443"/>
      <c r="H111" s="444"/>
      <c r="I111" s="123"/>
    </row>
    <row r="112" spans="2:9" ht="15" thickBot="1" x14ac:dyDescent="0.35">
      <c r="B112" s="393"/>
      <c r="C112" s="402" t="s">
        <v>257</v>
      </c>
      <c r="D112" s="414">
        <f>SUM(D110:D111)</f>
        <v>60706</v>
      </c>
      <c r="E112" s="444"/>
      <c r="F112" s="444"/>
      <c r="G112" s="443"/>
      <c r="H112" s="444"/>
      <c r="I112" s="123"/>
    </row>
    <row r="113" spans="2:9" x14ac:dyDescent="0.3">
      <c r="B113" s="389" t="s">
        <v>335</v>
      </c>
      <c r="C113" s="401" t="s">
        <v>260</v>
      </c>
      <c r="D113" s="777"/>
      <c r="E113" s="444"/>
      <c r="F113" s="444"/>
      <c r="G113" s="443"/>
      <c r="H113" s="444"/>
      <c r="I113" s="123"/>
    </row>
    <row r="114" spans="2:9" x14ac:dyDescent="0.3">
      <c r="B114" s="389"/>
      <c r="C114" s="401" t="s">
        <v>261</v>
      </c>
      <c r="D114" s="777"/>
      <c r="E114" s="444"/>
      <c r="F114" s="444"/>
      <c r="G114" s="443"/>
      <c r="H114" s="444"/>
      <c r="I114" s="123"/>
    </row>
    <row r="115" spans="2:9" ht="15" thickBot="1" x14ac:dyDescent="0.35">
      <c r="B115" s="393"/>
      <c r="C115" s="402" t="s">
        <v>257</v>
      </c>
      <c r="D115" s="778">
        <f>SUM(D113:D114)</f>
        <v>0</v>
      </c>
      <c r="E115" s="444"/>
      <c r="F115" s="444"/>
      <c r="G115" s="443"/>
      <c r="H115" s="444"/>
      <c r="I115" s="123"/>
    </row>
    <row r="116" spans="2:9" x14ac:dyDescent="0.3">
      <c r="B116" s="389" t="s">
        <v>10</v>
      </c>
      <c r="C116" s="401" t="s">
        <v>260</v>
      </c>
      <c r="D116" s="779">
        <v>0</v>
      </c>
      <c r="E116" s="444"/>
      <c r="F116" s="444"/>
      <c r="G116" s="443"/>
      <c r="H116" s="444"/>
      <c r="I116" s="123"/>
    </row>
    <row r="117" spans="2:9" x14ac:dyDescent="0.3">
      <c r="B117" s="389"/>
      <c r="C117" s="401" t="s">
        <v>261</v>
      </c>
      <c r="D117" s="779">
        <v>26328</v>
      </c>
      <c r="E117" s="444"/>
      <c r="F117" s="444"/>
      <c r="G117" s="443"/>
      <c r="H117" s="444"/>
      <c r="I117" s="123"/>
    </row>
    <row r="118" spans="2:9" ht="15" thickBot="1" x14ac:dyDescent="0.35">
      <c r="B118" s="393"/>
      <c r="C118" s="402" t="s">
        <v>257</v>
      </c>
      <c r="D118" s="781">
        <f>SUM(D116:D117)</f>
        <v>26328</v>
      </c>
      <c r="E118" s="444"/>
      <c r="F118" s="444"/>
      <c r="G118" s="443"/>
      <c r="H118" s="444"/>
      <c r="I118" s="123"/>
    </row>
    <row r="119" spans="2:9" x14ac:dyDescent="0.3">
      <c r="B119" s="389" t="s">
        <v>336</v>
      </c>
      <c r="C119" s="401" t="s">
        <v>260</v>
      </c>
      <c r="D119" s="777">
        <v>0</v>
      </c>
      <c r="E119" s="444"/>
      <c r="F119" s="444"/>
      <c r="G119" s="443"/>
      <c r="H119" s="444"/>
      <c r="I119" s="123"/>
    </row>
    <row r="120" spans="2:9" x14ac:dyDescent="0.3">
      <c r="B120" s="389"/>
      <c r="C120" s="401" t="s">
        <v>261</v>
      </c>
      <c r="D120" s="777">
        <v>0</v>
      </c>
      <c r="E120" s="444"/>
      <c r="F120" s="444"/>
      <c r="G120" s="443"/>
      <c r="H120" s="444"/>
      <c r="I120" s="123"/>
    </row>
    <row r="121" spans="2:9" ht="15" thickBot="1" x14ac:dyDescent="0.35">
      <c r="B121" s="393"/>
      <c r="C121" s="402" t="s">
        <v>257</v>
      </c>
      <c r="D121" s="778">
        <f>SUM(D119:D120)</f>
        <v>0</v>
      </c>
      <c r="E121" s="444"/>
      <c r="F121" s="444"/>
      <c r="G121" s="443"/>
      <c r="H121" s="444"/>
      <c r="I121" s="123"/>
    </row>
    <row r="122" spans="2:9" x14ac:dyDescent="0.3">
      <c r="B122" s="389" t="s">
        <v>349</v>
      </c>
      <c r="C122" s="401" t="s">
        <v>260</v>
      </c>
      <c r="D122" s="428">
        <v>0</v>
      </c>
      <c r="E122" s="444"/>
      <c r="F122" s="444"/>
      <c r="G122" s="443"/>
      <c r="H122" s="444"/>
      <c r="I122" s="123"/>
    </row>
    <row r="123" spans="2:9" x14ac:dyDescent="0.3">
      <c r="B123" s="389"/>
      <c r="C123" s="401" t="s">
        <v>261</v>
      </c>
      <c r="D123" s="428">
        <v>0</v>
      </c>
      <c r="E123" s="444"/>
      <c r="F123" s="444"/>
      <c r="G123" s="443"/>
      <c r="H123" s="444"/>
      <c r="I123" s="123"/>
    </row>
    <row r="124" spans="2:9" ht="15" thickBot="1" x14ac:dyDescent="0.35">
      <c r="B124" s="393"/>
      <c r="C124" s="402" t="s">
        <v>257</v>
      </c>
      <c r="D124" s="424">
        <f>SUM(D122:D123)</f>
        <v>0</v>
      </c>
      <c r="E124" s="444"/>
      <c r="F124" s="444"/>
      <c r="G124" s="443"/>
      <c r="H124" s="444"/>
      <c r="I124" s="123"/>
    </row>
    <row r="125" spans="2:9" x14ac:dyDescent="0.3">
      <c r="B125" s="389" t="s">
        <v>341</v>
      </c>
      <c r="C125" s="401" t="s">
        <v>260</v>
      </c>
      <c r="D125" s="777">
        <v>0</v>
      </c>
      <c r="E125" s="444"/>
      <c r="F125" s="444"/>
      <c r="G125" s="443"/>
      <c r="H125" s="444"/>
      <c r="I125" s="123"/>
    </row>
    <row r="126" spans="2:9" x14ac:dyDescent="0.3">
      <c r="B126" s="389"/>
      <c r="C126" s="401" t="s">
        <v>261</v>
      </c>
      <c r="D126" s="777">
        <v>0</v>
      </c>
      <c r="E126" s="444"/>
      <c r="F126" s="444"/>
      <c r="G126" s="443"/>
      <c r="H126" s="444"/>
      <c r="I126" s="123"/>
    </row>
    <row r="127" spans="2:9" ht="15" thickBot="1" x14ac:dyDescent="0.35">
      <c r="B127" s="393"/>
      <c r="C127" s="402" t="s">
        <v>257</v>
      </c>
      <c r="D127" s="782">
        <f>SUM(D125:D126)</f>
        <v>0</v>
      </c>
      <c r="E127" s="444"/>
      <c r="F127" s="444"/>
      <c r="G127" s="443"/>
      <c r="H127" s="444"/>
      <c r="I127" s="123"/>
    </row>
    <row r="128" spans="2:9" x14ac:dyDescent="0.3">
      <c r="B128" s="389" t="s">
        <v>337</v>
      </c>
      <c r="C128" s="401" t="s">
        <v>260</v>
      </c>
      <c r="D128" s="428">
        <v>0</v>
      </c>
      <c r="E128" s="444"/>
      <c r="F128" s="444"/>
      <c r="G128" s="443"/>
      <c r="H128" s="444"/>
      <c r="I128" s="123"/>
    </row>
    <row r="129" spans="2:9" x14ac:dyDescent="0.3">
      <c r="B129" s="389"/>
      <c r="C129" s="401" t="s">
        <v>261</v>
      </c>
      <c r="D129" s="428">
        <v>0</v>
      </c>
      <c r="E129" s="444"/>
      <c r="F129" s="444"/>
      <c r="G129" s="443"/>
      <c r="H129" s="444"/>
      <c r="I129" s="123"/>
    </row>
    <row r="130" spans="2:9" ht="15" thickBot="1" x14ac:dyDescent="0.35">
      <c r="B130" s="393"/>
      <c r="C130" s="402" t="s">
        <v>257</v>
      </c>
      <c r="D130" s="424">
        <f>SUM(D128:D129)</f>
        <v>0</v>
      </c>
      <c r="E130" s="444"/>
      <c r="F130" s="444"/>
      <c r="G130" s="443"/>
      <c r="H130" s="444"/>
      <c r="I130" s="123"/>
    </row>
    <row r="131" spans="2:9" x14ac:dyDescent="0.3">
      <c r="B131" s="389" t="s">
        <v>11</v>
      </c>
      <c r="C131" s="401" t="s">
        <v>260</v>
      </c>
      <c r="D131" s="428">
        <v>0</v>
      </c>
      <c r="E131" s="444"/>
      <c r="F131" s="444"/>
      <c r="G131" s="443"/>
      <c r="H131" s="444"/>
      <c r="I131" s="123"/>
    </row>
    <row r="132" spans="2:9" x14ac:dyDescent="0.3">
      <c r="B132" s="389"/>
      <c r="C132" s="401" t="s">
        <v>261</v>
      </c>
      <c r="D132" s="428">
        <v>0</v>
      </c>
      <c r="E132" s="444"/>
      <c r="F132" s="444"/>
      <c r="G132" s="443"/>
      <c r="H132" s="444"/>
      <c r="I132" s="123"/>
    </row>
    <row r="133" spans="2:9" ht="15" thickBot="1" x14ac:dyDescent="0.35">
      <c r="B133" s="393"/>
      <c r="C133" s="402" t="s">
        <v>257</v>
      </c>
      <c r="D133" s="424">
        <f>SUM(D131:D132)</f>
        <v>0</v>
      </c>
      <c r="E133" s="444"/>
      <c r="F133" s="444"/>
      <c r="G133" s="443"/>
      <c r="H133" s="444"/>
      <c r="I133" s="123"/>
    </row>
    <row r="134" spans="2:9" x14ac:dyDescent="0.3">
      <c r="B134" s="389" t="s">
        <v>350</v>
      </c>
      <c r="C134" s="401" t="s">
        <v>260</v>
      </c>
      <c r="D134" s="428">
        <v>0</v>
      </c>
      <c r="E134" s="444"/>
      <c r="F134" s="444"/>
      <c r="G134" s="443"/>
      <c r="H134" s="444"/>
      <c r="I134" s="123"/>
    </row>
    <row r="135" spans="2:9" x14ac:dyDescent="0.3">
      <c r="B135" s="389"/>
      <c r="C135" s="401" t="s">
        <v>261</v>
      </c>
      <c r="D135" s="428">
        <v>10193</v>
      </c>
      <c r="E135" s="444"/>
      <c r="F135" s="444"/>
      <c r="G135" s="443"/>
      <c r="H135" s="444"/>
      <c r="I135" s="123"/>
    </row>
    <row r="136" spans="2:9" ht="15" thickBot="1" x14ac:dyDescent="0.35">
      <c r="B136" s="393"/>
      <c r="C136" s="402" t="s">
        <v>257</v>
      </c>
      <c r="D136" s="424">
        <f>SUM(D134:D135)</f>
        <v>10193</v>
      </c>
      <c r="E136" s="444"/>
      <c r="F136" s="444"/>
      <c r="G136" s="443"/>
      <c r="H136" s="444"/>
      <c r="I136" s="123"/>
    </row>
    <row r="137" spans="2:9" x14ac:dyDescent="0.3">
      <c r="B137" s="389" t="s">
        <v>351</v>
      </c>
      <c r="C137" s="401" t="s">
        <v>260</v>
      </c>
      <c r="D137" s="779">
        <v>0</v>
      </c>
      <c r="E137" s="444"/>
      <c r="F137" s="444"/>
      <c r="G137" s="443"/>
      <c r="H137" s="444"/>
      <c r="I137" s="123"/>
    </row>
    <row r="138" spans="2:9" x14ac:dyDescent="0.3">
      <c r="B138" s="389"/>
      <c r="C138" s="401" t="s">
        <v>261</v>
      </c>
      <c r="D138" s="779">
        <v>0</v>
      </c>
      <c r="E138" s="444"/>
      <c r="F138" s="444"/>
      <c r="G138" s="443"/>
      <c r="H138" s="444"/>
      <c r="I138" s="123"/>
    </row>
    <row r="139" spans="2:9" ht="15" thickBot="1" x14ac:dyDescent="0.35">
      <c r="B139" s="393"/>
      <c r="C139" s="402" t="s">
        <v>257</v>
      </c>
      <c r="D139" s="780">
        <f>SUM(D137:D138)</f>
        <v>0</v>
      </c>
      <c r="E139" s="444"/>
      <c r="F139" s="444"/>
      <c r="G139" s="443"/>
      <c r="H139" s="444"/>
      <c r="I139" s="123"/>
    </row>
    <row r="140" spans="2:9" x14ac:dyDescent="0.3">
      <c r="B140" s="389" t="s">
        <v>352</v>
      </c>
      <c r="C140" s="401" t="s">
        <v>260</v>
      </c>
      <c r="D140" s="428">
        <v>0</v>
      </c>
      <c r="E140" s="444"/>
      <c r="F140" s="444"/>
      <c r="G140" s="443"/>
      <c r="H140" s="444"/>
      <c r="I140" s="123"/>
    </row>
    <row r="141" spans="2:9" x14ac:dyDescent="0.3">
      <c r="B141" s="389"/>
      <c r="C141" s="401" t="s">
        <v>261</v>
      </c>
      <c r="D141" s="428">
        <v>16151</v>
      </c>
      <c r="E141" s="444"/>
      <c r="F141" s="444"/>
      <c r="G141" s="443"/>
      <c r="H141" s="444"/>
      <c r="I141" s="123"/>
    </row>
    <row r="142" spans="2:9" ht="15" thickBot="1" x14ac:dyDescent="0.35">
      <c r="B142" s="393"/>
      <c r="C142" s="402" t="s">
        <v>257</v>
      </c>
      <c r="D142" s="424">
        <f>SUM(D140:D141)</f>
        <v>16151</v>
      </c>
      <c r="E142" s="444"/>
      <c r="F142" s="444"/>
      <c r="G142" s="443"/>
      <c r="H142" s="444"/>
      <c r="I142" s="123"/>
    </row>
    <row r="143" spans="2:9" x14ac:dyDescent="0.3">
      <c r="B143" s="389" t="s">
        <v>353</v>
      </c>
      <c r="C143" s="401" t="s">
        <v>260</v>
      </c>
      <c r="D143" s="428">
        <v>0</v>
      </c>
      <c r="E143" s="444"/>
      <c r="F143" s="444"/>
      <c r="G143" s="443"/>
      <c r="H143" s="444"/>
      <c r="I143" s="123"/>
    </row>
    <row r="144" spans="2:9" x14ac:dyDescent="0.3">
      <c r="B144" s="389"/>
      <c r="C144" s="401" t="s">
        <v>261</v>
      </c>
      <c r="D144" s="428">
        <v>0</v>
      </c>
      <c r="E144" s="444"/>
      <c r="F144" s="444"/>
      <c r="G144" s="443"/>
      <c r="H144" s="444"/>
      <c r="I144" s="123"/>
    </row>
    <row r="145" spans="2:9" ht="15" thickBot="1" x14ac:dyDescent="0.35">
      <c r="B145" s="393"/>
      <c r="C145" s="402" t="s">
        <v>257</v>
      </c>
      <c r="D145" s="424">
        <f>SUM(D143:D144)</f>
        <v>0</v>
      </c>
      <c r="E145" s="444"/>
      <c r="F145" s="444"/>
      <c r="G145" s="443"/>
      <c r="H145" s="444"/>
      <c r="I145" s="123"/>
    </row>
    <row r="146" spans="2:9" x14ac:dyDescent="0.3">
      <c r="B146" s="446" t="s">
        <v>258</v>
      </c>
      <c r="C146" s="389" t="s">
        <v>255</v>
      </c>
      <c r="D146" s="428">
        <f>SUM(D101,D104,D107,D110,D113,D116,D119,D122,D125,D128,D131,D134,D137,D140,D143)</f>
        <v>0</v>
      </c>
      <c r="E146" s="444"/>
      <c r="F146" s="444"/>
      <c r="G146" s="443"/>
      <c r="H146" s="444"/>
      <c r="I146" s="123"/>
    </row>
    <row r="147" spans="2:9" x14ac:dyDescent="0.3">
      <c r="B147" s="389"/>
      <c r="C147" s="389" t="s">
        <v>256</v>
      </c>
      <c r="D147" s="428">
        <f>SUM(D102,D105,D108,D111,D114,D117,D120,D123,D126,D129,D132,D135,D138,D141,D144)</f>
        <v>120722</v>
      </c>
      <c r="E147" s="444"/>
      <c r="F147" s="444"/>
      <c r="G147" s="443"/>
      <c r="H147" s="444"/>
      <c r="I147" s="123"/>
    </row>
    <row r="148" spans="2:9" ht="15" thickBot="1" x14ac:dyDescent="0.35">
      <c r="B148" s="393"/>
      <c r="C148" s="394" t="s">
        <v>257</v>
      </c>
      <c r="D148" s="424">
        <f>SUM(D103,D106,D109,D112,D115,D118,D121,D124,D127,D130,D133,D136,D139,D142,D145)</f>
        <v>120722</v>
      </c>
      <c r="E148" s="444"/>
      <c r="F148" s="444"/>
      <c r="G148" s="443"/>
      <c r="H148" s="444"/>
      <c r="I148" s="123"/>
    </row>
    <row r="149" spans="2:9" x14ac:dyDescent="0.3">
      <c r="B149" s="123"/>
      <c r="C149" s="123"/>
      <c r="D149" s="123"/>
      <c r="E149" s="444"/>
      <c r="F149" s="444"/>
      <c r="G149" s="443"/>
      <c r="H149" s="444"/>
      <c r="I149" s="123"/>
    </row>
    <row r="150" spans="2:9" ht="15" thickBot="1" x14ac:dyDescent="0.35">
      <c r="B150" s="123"/>
      <c r="C150" s="123"/>
      <c r="D150" s="123"/>
      <c r="E150" s="444"/>
      <c r="F150" s="444"/>
      <c r="G150" s="443"/>
      <c r="H150" s="444"/>
      <c r="I150" s="123"/>
    </row>
    <row r="151" spans="2:9" ht="15" thickBot="1" x14ac:dyDescent="0.35">
      <c r="B151" s="123"/>
      <c r="C151" s="123"/>
      <c r="D151" s="479" t="s">
        <v>262</v>
      </c>
      <c r="E151" s="444"/>
      <c r="F151" s="444"/>
      <c r="G151" s="443"/>
      <c r="H151" s="444"/>
      <c r="I151" s="123"/>
    </row>
    <row r="152" spans="2:9" ht="15" thickBot="1" x14ac:dyDescent="0.35">
      <c r="B152" s="123"/>
      <c r="C152" s="123"/>
      <c r="D152" s="477">
        <v>2022</v>
      </c>
      <c r="E152" s="444"/>
      <c r="F152" s="444"/>
      <c r="G152" s="443"/>
      <c r="H152" s="444"/>
      <c r="I152" s="123"/>
    </row>
    <row r="153" spans="2:9" ht="15" thickBot="1" x14ac:dyDescent="0.35">
      <c r="B153" s="123"/>
      <c r="C153" s="447" t="s">
        <v>223</v>
      </c>
      <c r="D153" s="478" t="s">
        <v>232</v>
      </c>
      <c r="E153" s="444"/>
      <c r="F153" s="444"/>
      <c r="G153" s="443"/>
      <c r="H153" s="444"/>
      <c r="I153" s="123"/>
    </row>
    <row r="154" spans="2:9" x14ac:dyDescent="0.3">
      <c r="B154" s="123"/>
      <c r="C154" s="389" t="s">
        <v>343</v>
      </c>
      <c r="D154" s="427">
        <f>SUM(D51,D103)</f>
        <v>101336.68</v>
      </c>
      <c r="E154" s="444"/>
      <c r="F154" s="444"/>
      <c r="G154" s="443"/>
      <c r="H154" s="444"/>
      <c r="I154" s="123"/>
    </row>
    <row r="155" spans="2:9" x14ac:dyDescent="0.3">
      <c r="B155" s="123"/>
      <c r="C155" s="389" t="s">
        <v>7</v>
      </c>
      <c r="D155" s="777">
        <f>SUM(D54,D106)</f>
        <v>0</v>
      </c>
      <c r="E155" s="444"/>
      <c r="F155" s="444"/>
      <c r="G155" s="443"/>
      <c r="H155" s="444"/>
      <c r="I155" s="123"/>
    </row>
    <row r="156" spans="2:9" x14ac:dyDescent="0.3">
      <c r="B156" s="123"/>
      <c r="C156" s="389" t="s">
        <v>8</v>
      </c>
      <c r="D156" s="428">
        <f>SUM(D57,D109)</f>
        <v>257177</v>
      </c>
      <c r="E156" s="444"/>
      <c r="F156" s="444"/>
      <c r="G156" s="443"/>
      <c r="H156" s="444"/>
      <c r="I156" s="123"/>
    </row>
    <row r="157" spans="2:9" ht="28.8" x14ac:dyDescent="0.3">
      <c r="B157" s="123"/>
      <c r="C157" s="448" t="s">
        <v>9</v>
      </c>
      <c r="D157" s="428">
        <f>SUM(D60,D112)</f>
        <v>119488.95</v>
      </c>
      <c r="E157" s="444"/>
      <c r="F157" s="444"/>
      <c r="G157" s="443"/>
      <c r="H157" s="444"/>
      <c r="I157" s="123"/>
    </row>
    <row r="158" spans="2:9" x14ac:dyDescent="0.3">
      <c r="B158" s="123"/>
      <c r="C158" s="389" t="s">
        <v>335</v>
      </c>
      <c r="D158" s="777">
        <f>SUM(D63,D115)</f>
        <v>0</v>
      </c>
      <c r="E158" s="444"/>
      <c r="F158" s="444"/>
      <c r="G158" s="443"/>
      <c r="H158" s="444"/>
      <c r="I158" s="123"/>
    </row>
    <row r="159" spans="2:9" x14ac:dyDescent="0.3">
      <c r="B159" s="123"/>
      <c r="C159" s="389" t="s">
        <v>10</v>
      </c>
      <c r="D159" s="428">
        <f>SUM(D66,D118)</f>
        <v>102598</v>
      </c>
      <c r="E159" s="444"/>
      <c r="F159" s="444"/>
      <c r="G159" s="443"/>
      <c r="H159" s="444"/>
      <c r="I159" s="123"/>
    </row>
    <row r="160" spans="2:9" x14ac:dyDescent="0.3">
      <c r="B160" s="123"/>
      <c r="C160" s="389" t="s">
        <v>336</v>
      </c>
      <c r="D160" s="777">
        <f>SUM(D69,D121)</f>
        <v>0</v>
      </c>
      <c r="E160" s="444"/>
      <c r="F160" s="444"/>
      <c r="G160" s="443"/>
      <c r="H160" s="444"/>
      <c r="I160" s="123"/>
    </row>
    <row r="161" spans="2:9" ht="15" customHeight="1" x14ac:dyDescent="0.3">
      <c r="B161" s="123"/>
      <c r="C161" s="389" t="s">
        <v>349</v>
      </c>
      <c r="D161" s="428">
        <f>SUM(D72,D124)</f>
        <v>0</v>
      </c>
      <c r="E161" s="444"/>
      <c r="F161" s="444"/>
      <c r="G161" s="443"/>
      <c r="H161" s="444"/>
      <c r="I161" s="123"/>
    </row>
    <row r="162" spans="2:9" x14ac:dyDescent="0.3">
      <c r="B162" s="123"/>
      <c r="C162" s="389" t="s">
        <v>341</v>
      </c>
      <c r="D162" s="777">
        <f>SUM(D75,D127)</f>
        <v>0</v>
      </c>
      <c r="E162" s="444"/>
      <c r="F162" s="444"/>
      <c r="G162" s="443"/>
      <c r="H162" s="444"/>
      <c r="I162" s="123"/>
    </row>
    <row r="163" spans="2:9" x14ac:dyDescent="0.3">
      <c r="B163" s="123"/>
      <c r="C163" s="389" t="s">
        <v>337</v>
      </c>
      <c r="D163" s="428">
        <f>SUM(D78,D130)</f>
        <v>3393.87</v>
      </c>
      <c r="E163" s="444"/>
      <c r="F163" s="444"/>
      <c r="G163" s="443"/>
      <c r="H163" s="444"/>
      <c r="I163" s="123"/>
    </row>
    <row r="164" spans="2:9" x14ac:dyDescent="0.3">
      <c r="B164" s="123"/>
      <c r="C164" s="389" t="s">
        <v>11</v>
      </c>
      <c r="D164" s="428">
        <f>SUM(D81,D133)</f>
        <v>9216</v>
      </c>
      <c r="E164" s="444"/>
      <c r="F164" s="444"/>
      <c r="G164" s="443"/>
      <c r="H164" s="444"/>
      <c r="I164" s="123"/>
    </row>
    <row r="165" spans="2:9" x14ac:dyDescent="0.3">
      <c r="B165" s="123"/>
      <c r="C165" s="389" t="s">
        <v>350</v>
      </c>
      <c r="D165" s="428">
        <f>SUM(D84,D136)</f>
        <v>10193</v>
      </c>
      <c r="E165" s="444"/>
      <c r="F165" s="444"/>
      <c r="G165" s="443"/>
      <c r="H165" s="444"/>
      <c r="I165" s="123"/>
    </row>
    <row r="166" spans="2:9" x14ac:dyDescent="0.3">
      <c r="B166" s="123"/>
      <c r="C166" s="389" t="s">
        <v>351</v>
      </c>
      <c r="D166" s="428">
        <f>SUM(D87,D139)</f>
        <v>76270</v>
      </c>
      <c r="E166" s="444"/>
      <c r="F166" s="444"/>
      <c r="G166" s="443"/>
      <c r="H166" s="444"/>
      <c r="I166" s="123"/>
    </row>
    <row r="167" spans="2:9" x14ac:dyDescent="0.3">
      <c r="B167" s="123"/>
      <c r="C167" s="389" t="s">
        <v>352</v>
      </c>
      <c r="D167" s="428">
        <f>SUM(D90,D142)</f>
        <v>47388.91</v>
      </c>
      <c r="E167" s="444"/>
      <c r="F167" s="444"/>
      <c r="G167" s="443"/>
      <c r="H167" s="444"/>
      <c r="I167" s="123"/>
    </row>
    <row r="168" spans="2:9" x14ac:dyDescent="0.3">
      <c r="B168" s="123"/>
      <c r="C168" s="389" t="s">
        <v>353</v>
      </c>
      <c r="D168" s="428">
        <f>SUM(D93,D145)</f>
        <v>0</v>
      </c>
      <c r="E168" s="444"/>
      <c r="F168" s="444"/>
      <c r="G168" s="443"/>
      <c r="H168" s="444"/>
      <c r="I168" s="123"/>
    </row>
    <row r="169" spans="2:9" ht="15" thickBot="1" x14ac:dyDescent="0.35">
      <c r="B169" s="123"/>
      <c r="C169" s="394" t="s">
        <v>258</v>
      </c>
      <c r="D169" s="480">
        <f>SUM(D154:D168)</f>
        <v>727062.41</v>
      </c>
      <c r="E169" s="444"/>
      <c r="F169" s="444"/>
      <c r="G169" s="443"/>
      <c r="H169" s="444"/>
      <c r="I169" s="123"/>
    </row>
    <row r="170" spans="2:9" x14ac:dyDescent="0.3">
      <c r="B170" s="123"/>
      <c r="C170" s="123"/>
      <c r="D170" s="123"/>
      <c r="E170" s="444"/>
      <c r="F170" s="444"/>
      <c r="G170" s="443"/>
      <c r="H170" s="444"/>
      <c r="I170" s="123"/>
    </row>
    <row r="171" spans="2:9" x14ac:dyDescent="0.3">
      <c r="B171" s="123"/>
      <c r="C171" s="123"/>
      <c r="D171" s="123"/>
      <c r="E171" s="444"/>
      <c r="F171" s="444"/>
      <c r="G171" s="443"/>
      <c r="H171" s="444"/>
      <c r="I171" s="123"/>
    </row>
    <row r="172" spans="2:9" x14ac:dyDescent="0.3">
      <c r="B172" s="123"/>
      <c r="C172" s="123"/>
      <c r="D172" s="123"/>
      <c r="E172" s="444"/>
      <c r="F172" s="444"/>
      <c r="G172" s="443"/>
      <c r="H172" s="444"/>
      <c r="I172" s="123"/>
    </row>
    <row r="173" spans="2:9" x14ac:dyDescent="0.3">
      <c r="B173" s="123"/>
      <c r="C173" s="123"/>
      <c r="D173" s="123"/>
      <c r="E173" s="444"/>
      <c r="F173" s="444"/>
      <c r="G173" s="443"/>
      <c r="H173" s="444"/>
      <c r="I173" s="123"/>
    </row>
    <row r="174" spans="2:9" x14ac:dyDescent="0.3">
      <c r="B174" s="123"/>
      <c r="C174" s="123"/>
      <c r="D174" s="123"/>
      <c r="E174" s="444"/>
      <c r="F174" s="444"/>
      <c r="G174" s="443"/>
      <c r="H174" s="444"/>
      <c r="I174" s="123"/>
    </row>
    <row r="175" spans="2:9" x14ac:dyDescent="0.3">
      <c r="B175" s="123"/>
      <c r="C175" s="123"/>
      <c r="D175" s="123"/>
      <c r="E175" s="444"/>
      <c r="F175" s="444"/>
      <c r="G175" s="443"/>
      <c r="H175" s="444"/>
      <c r="I175" s="123"/>
    </row>
    <row r="176" spans="2:9" x14ac:dyDescent="0.3">
      <c r="B176" s="123"/>
      <c r="C176" s="123"/>
      <c r="D176" s="123"/>
      <c r="H176" s="123"/>
      <c r="I176" s="123"/>
    </row>
    <row r="177" spans="2:9" x14ac:dyDescent="0.3">
      <c r="B177" s="123"/>
      <c r="C177" s="123"/>
      <c r="D177" s="123"/>
      <c r="H177" s="123"/>
      <c r="I177" s="123"/>
    </row>
    <row r="178" spans="2:9" x14ac:dyDescent="0.3">
      <c r="B178" s="123"/>
      <c r="C178" s="123"/>
      <c r="D178" s="123"/>
      <c r="H178" s="123"/>
      <c r="I178" s="123"/>
    </row>
    <row r="179" spans="2:9" x14ac:dyDescent="0.3">
      <c r="B179" s="123"/>
      <c r="C179" s="123"/>
      <c r="D179" s="123"/>
      <c r="H179" s="123"/>
      <c r="I179" s="123"/>
    </row>
    <row r="180" spans="2:9" x14ac:dyDescent="0.3">
      <c r="B180" s="123"/>
      <c r="C180" s="123"/>
      <c r="D180" s="123"/>
      <c r="H180" s="123"/>
      <c r="I180" s="123"/>
    </row>
    <row r="181" spans="2:9" x14ac:dyDescent="0.3">
      <c r="B181" s="123"/>
      <c r="C181" s="123"/>
      <c r="D181" s="123"/>
      <c r="H181" s="123"/>
      <c r="I181" s="123"/>
    </row>
    <row r="182" spans="2:9" x14ac:dyDescent="0.3">
      <c r="B182" s="123"/>
      <c r="C182" s="123"/>
      <c r="D182" s="123"/>
      <c r="H182" s="123"/>
      <c r="I182" s="123"/>
    </row>
  </sheetData>
  <mergeCells count="10">
    <mergeCell ref="P6:R6"/>
    <mergeCell ref="S6:U6"/>
    <mergeCell ref="M7:O7"/>
    <mergeCell ref="P7:R7"/>
    <mergeCell ref="S7:U7"/>
    <mergeCell ref="D6:L6"/>
    <mergeCell ref="D7:F7"/>
    <mergeCell ref="G7:I7"/>
    <mergeCell ref="J7:L7"/>
    <mergeCell ref="M6:O6"/>
  </mergeCells>
  <printOptions gridLines="1"/>
  <pageMargins left="0.7" right="0.7" top="0.75" bottom="0.75" header="0.3" footer="0.3"/>
  <pageSetup scale="38"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2"/>
    <pageSetUpPr fitToPage="1"/>
  </sheetPr>
  <dimension ref="A1:U170"/>
  <sheetViews>
    <sheetView zoomScale="75" zoomScaleNormal="75" workbookViewId="0">
      <pane xSplit="3" ySplit="8" topLeftCell="D9" activePane="bottomRight" state="frozen"/>
      <selection activeCell="S57" sqref="S57"/>
      <selection pane="topRight" activeCell="S57" sqref="S57"/>
      <selection pane="bottomLeft" activeCell="S57" sqref="S57"/>
      <selection pane="bottomRight" activeCell="I20" sqref="I20"/>
    </sheetView>
  </sheetViews>
  <sheetFormatPr defaultColWidth="9.109375" defaultRowHeight="14.4" x14ac:dyDescent="0.3"/>
  <cols>
    <col min="1" max="1" width="23.33203125" style="123" customWidth="1"/>
    <col min="2" max="2" width="56.5546875" customWidth="1"/>
    <col min="3" max="3" width="29" bestFit="1" customWidth="1"/>
    <col min="4" max="5" width="26.33203125" customWidth="1"/>
    <col min="6" max="6" width="26.33203125" style="123" customWidth="1"/>
    <col min="7" max="8" width="26.33203125" customWidth="1"/>
    <col min="9" max="9" width="26.33203125" style="123" customWidth="1"/>
    <col min="10" max="11" width="21.44140625" customWidth="1"/>
    <col min="12" max="12" width="21.44140625" style="123" customWidth="1"/>
    <col min="13" max="18" width="18.6640625" customWidth="1"/>
    <col min="19" max="19" width="10.6640625" customWidth="1"/>
  </cols>
  <sheetData>
    <row r="1" spans="1:18" x14ac:dyDescent="0.3">
      <c r="A1" s="59" t="s">
        <v>229</v>
      </c>
      <c r="B1" s="59" t="s">
        <v>345</v>
      </c>
      <c r="C1" s="123"/>
      <c r="D1" s="250" t="s">
        <v>2</v>
      </c>
      <c r="E1" s="250" t="s">
        <v>69</v>
      </c>
      <c r="G1" s="56"/>
      <c r="H1" s="56"/>
      <c r="I1" s="56"/>
      <c r="J1" s="56"/>
      <c r="K1" s="56"/>
      <c r="L1" s="56"/>
      <c r="M1" s="123"/>
      <c r="N1" s="123"/>
      <c r="O1" s="123"/>
      <c r="P1" s="123"/>
      <c r="Q1" s="123"/>
      <c r="R1" s="123"/>
    </row>
    <row r="2" spans="1:18" s="123" customFormat="1" x14ac:dyDescent="0.3">
      <c r="A2" s="59"/>
      <c r="B2" s="56"/>
      <c r="D2" s="250" t="s">
        <v>4</v>
      </c>
      <c r="E2" s="265">
        <v>2023</v>
      </c>
      <c r="G2" s="56"/>
      <c r="H2" s="56"/>
      <c r="I2" s="56"/>
      <c r="J2" s="56"/>
      <c r="K2" s="56"/>
      <c r="L2" s="56"/>
    </row>
    <row r="3" spans="1:18" x14ac:dyDescent="0.3">
      <c r="A3" s="72"/>
      <c r="B3" s="72"/>
      <c r="C3" s="72"/>
      <c r="D3" s="72"/>
      <c r="E3" s="72"/>
      <c r="G3" s="72"/>
      <c r="H3" s="72"/>
      <c r="I3" s="72"/>
      <c r="J3" s="72"/>
      <c r="K3" s="72"/>
      <c r="L3" s="72"/>
      <c r="M3" s="123"/>
      <c r="N3" s="123"/>
      <c r="O3" s="123"/>
      <c r="P3" s="123"/>
      <c r="Q3" s="123"/>
      <c r="R3" s="123"/>
    </row>
    <row r="4" spans="1:18" x14ac:dyDescent="0.3">
      <c r="A4" s="340" t="s">
        <v>230</v>
      </c>
      <c r="B4" s="57"/>
      <c r="C4" s="57"/>
      <c r="D4" s="57"/>
      <c r="E4" s="57"/>
      <c r="G4" s="57"/>
      <c r="H4" s="57"/>
      <c r="I4" s="57"/>
      <c r="J4" s="57"/>
      <c r="K4" s="57"/>
      <c r="L4" s="113"/>
      <c r="M4" s="130"/>
      <c r="N4" s="130"/>
      <c r="O4" s="130"/>
      <c r="P4" s="130"/>
      <c r="Q4" s="130"/>
      <c r="R4" s="123"/>
    </row>
    <row r="5" spans="1:18" ht="15" thickBot="1" x14ac:dyDescent="0.35">
      <c r="A5" s="418" t="s">
        <v>222</v>
      </c>
      <c r="B5" s="123"/>
      <c r="C5" s="123"/>
      <c r="D5" s="123"/>
      <c r="E5" s="123"/>
      <c r="G5" s="123"/>
      <c r="H5" s="123"/>
      <c r="J5" s="123"/>
      <c r="K5" s="123"/>
      <c r="M5" s="130"/>
      <c r="N5" s="130"/>
      <c r="O5" s="130"/>
      <c r="P5" s="130"/>
      <c r="Q5" s="130"/>
      <c r="R5" s="123"/>
    </row>
    <row r="6" spans="1:18" ht="15" thickBot="1" x14ac:dyDescent="0.35">
      <c r="A6" s="418"/>
      <c r="B6" s="418"/>
      <c r="C6" s="418"/>
      <c r="D6" s="968">
        <v>2023</v>
      </c>
      <c r="E6" s="969"/>
      <c r="F6" s="969"/>
      <c r="G6" s="969"/>
      <c r="H6" s="969"/>
      <c r="I6" s="969"/>
      <c r="J6" s="969"/>
      <c r="K6" s="969"/>
      <c r="L6" s="970"/>
      <c r="M6" s="980">
        <v>2024</v>
      </c>
      <c r="N6" s="981"/>
      <c r="O6" s="981"/>
      <c r="P6" s="980">
        <v>2025</v>
      </c>
      <c r="Q6" s="981"/>
      <c r="R6" s="982"/>
    </row>
    <row r="7" spans="1:18" ht="15" thickBot="1" x14ac:dyDescent="0.35">
      <c r="A7" s="418"/>
      <c r="B7" s="418"/>
      <c r="C7" s="418"/>
      <c r="D7" s="971" t="s">
        <v>231</v>
      </c>
      <c r="E7" s="972"/>
      <c r="F7" s="973"/>
      <c r="G7" s="974" t="s">
        <v>232</v>
      </c>
      <c r="H7" s="975"/>
      <c r="I7" s="976"/>
      <c r="J7" s="977" t="s">
        <v>233</v>
      </c>
      <c r="K7" s="978"/>
      <c r="L7" s="979"/>
      <c r="M7" s="971" t="s">
        <v>231</v>
      </c>
      <c r="N7" s="972"/>
      <c r="O7" s="973"/>
      <c r="P7" s="971" t="s">
        <v>231</v>
      </c>
      <c r="Q7" s="972"/>
      <c r="R7" s="973"/>
    </row>
    <row r="8" spans="1:18" ht="43.8" thickBot="1" x14ac:dyDescent="0.35">
      <c r="A8" s="440" t="s">
        <v>2</v>
      </c>
      <c r="B8" s="441" t="s">
        <v>223</v>
      </c>
      <c r="C8" s="442" t="s">
        <v>224</v>
      </c>
      <c r="D8" s="268" t="s">
        <v>234</v>
      </c>
      <c r="E8" s="267" t="s">
        <v>235</v>
      </c>
      <c r="F8" s="269" t="s">
        <v>236</v>
      </c>
      <c r="G8" s="268" t="s">
        <v>225</v>
      </c>
      <c r="H8" s="267" t="s">
        <v>226</v>
      </c>
      <c r="I8" s="269" t="s">
        <v>227</v>
      </c>
      <c r="J8" s="268" t="s">
        <v>237</v>
      </c>
      <c r="K8" s="267" t="s">
        <v>238</v>
      </c>
      <c r="L8" s="449" t="s">
        <v>239</v>
      </c>
      <c r="M8" s="268" t="s">
        <v>234</v>
      </c>
      <c r="N8" s="267" t="s">
        <v>235</v>
      </c>
      <c r="O8" s="269" t="s">
        <v>236</v>
      </c>
      <c r="P8" s="268" t="s">
        <v>234</v>
      </c>
      <c r="Q8" s="267" t="s">
        <v>235</v>
      </c>
      <c r="R8" s="269" t="s">
        <v>236</v>
      </c>
    </row>
    <row r="9" spans="1:18" ht="15.6" x14ac:dyDescent="0.3">
      <c r="A9" s="44" t="str">
        <f>$E$1</f>
        <v>Unitil</v>
      </c>
      <c r="B9" s="450" t="s">
        <v>355</v>
      </c>
      <c r="C9" s="453" t="s">
        <v>361</v>
      </c>
      <c r="D9" s="816">
        <v>3</v>
      </c>
      <c r="E9" s="817">
        <v>186000</v>
      </c>
      <c r="F9" s="818">
        <v>186000</v>
      </c>
      <c r="G9" s="816">
        <v>4</v>
      </c>
      <c r="H9" s="817">
        <v>208869.88</v>
      </c>
      <c r="I9" s="818">
        <v>241793.97</v>
      </c>
      <c r="J9" s="374">
        <f>IFERROR(((G9-D9)/D9),0)</f>
        <v>0.33333333333333331</v>
      </c>
      <c r="K9" s="375">
        <f t="shared" ref="K9:L25" si="0">IFERROR(((H9-E9)/E9),0)</f>
        <v>0.12295634408602153</v>
      </c>
      <c r="L9" s="376">
        <f t="shared" si="0"/>
        <v>0.29996758064516127</v>
      </c>
      <c r="M9" s="272">
        <v>2</v>
      </c>
      <c r="N9" s="270">
        <v>640000</v>
      </c>
      <c r="O9" s="271">
        <v>640000</v>
      </c>
      <c r="P9" s="272">
        <v>1</v>
      </c>
      <c r="Q9" s="270">
        <v>33000</v>
      </c>
      <c r="R9" s="271">
        <v>33000</v>
      </c>
    </row>
    <row r="10" spans="1:18" ht="15.6" x14ac:dyDescent="0.3">
      <c r="A10" s="45" t="str">
        <f t="shared" ref="A10:A42" si="1">$E$1</f>
        <v>Unitil</v>
      </c>
      <c r="B10" s="451" t="s">
        <v>355</v>
      </c>
      <c r="C10" s="454" t="s">
        <v>356</v>
      </c>
      <c r="D10" s="273"/>
      <c r="E10" s="274"/>
      <c r="F10" s="275"/>
      <c r="G10" s="273"/>
      <c r="H10" s="274"/>
      <c r="I10" s="275"/>
      <c r="J10" s="377">
        <f t="shared" ref="J10:L26" si="2">IFERROR(((G10-D10)/D10),0)</f>
        <v>0</v>
      </c>
      <c r="K10" s="378">
        <f t="shared" si="0"/>
        <v>0</v>
      </c>
      <c r="L10" s="379">
        <f t="shared" si="0"/>
        <v>0</v>
      </c>
      <c r="M10" s="273"/>
      <c r="N10" s="274"/>
      <c r="O10" s="275"/>
      <c r="P10" s="273"/>
      <c r="Q10" s="274"/>
      <c r="R10" s="275"/>
    </row>
    <row r="11" spans="1:18" ht="15.6" x14ac:dyDescent="0.3">
      <c r="A11" s="45" t="str">
        <f t="shared" si="1"/>
        <v>Unitil</v>
      </c>
      <c r="B11" s="451" t="s">
        <v>355</v>
      </c>
      <c r="C11" s="454" t="s">
        <v>364</v>
      </c>
      <c r="D11" s="456"/>
      <c r="E11" s="457"/>
      <c r="F11" s="458"/>
      <c r="G11" s="456"/>
      <c r="H11" s="457"/>
      <c r="I11" s="458"/>
      <c r="J11" s="459">
        <f t="shared" si="2"/>
        <v>0</v>
      </c>
      <c r="K11" s="460">
        <f t="shared" si="0"/>
        <v>0</v>
      </c>
      <c r="L11" s="461">
        <f t="shared" si="0"/>
        <v>0</v>
      </c>
      <c r="M11" s="456"/>
      <c r="N11" s="457"/>
      <c r="O11" s="458"/>
      <c r="P11" s="456"/>
      <c r="Q11" s="457"/>
      <c r="R11" s="458"/>
    </row>
    <row r="12" spans="1:18" ht="15.6" x14ac:dyDescent="0.3">
      <c r="A12" s="45" t="str">
        <f t="shared" si="1"/>
        <v>Unitil</v>
      </c>
      <c r="B12" s="451" t="s">
        <v>355</v>
      </c>
      <c r="C12" s="454" t="s">
        <v>365</v>
      </c>
      <c r="D12" s="456"/>
      <c r="E12" s="457"/>
      <c r="F12" s="458"/>
      <c r="G12" s="456"/>
      <c r="H12" s="457"/>
      <c r="I12" s="458"/>
      <c r="J12" s="459">
        <f t="shared" si="2"/>
        <v>0</v>
      </c>
      <c r="K12" s="460">
        <f t="shared" si="0"/>
        <v>0</v>
      </c>
      <c r="L12" s="461">
        <f t="shared" si="0"/>
        <v>0</v>
      </c>
      <c r="M12" s="456"/>
      <c r="N12" s="457"/>
      <c r="O12" s="458"/>
      <c r="P12" s="456"/>
      <c r="Q12" s="457"/>
      <c r="R12" s="458"/>
    </row>
    <row r="13" spans="1:18" ht="15.6" x14ac:dyDescent="0.3">
      <c r="A13" s="45" t="str">
        <f t="shared" si="1"/>
        <v>Unitil</v>
      </c>
      <c r="B13" s="451" t="s">
        <v>366</v>
      </c>
      <c r="C13" s="454" t="s">
        <v>367</v>
      </c>
      <c r="D13" s="456"/>
      <c r="E13" s="457"/>
      <c r="F13" s="458"/>
      <c r="G13" s="456"/>
      <c r="H13" s="457"/>
      <c r="I13" s="458"/>
      <c r="J13" s="459">
        <f t="shared" si="2"/>
        <v>0</v>
      </c>
      <c r="K13" s="460">
        <f t="shared" si="0"/>
        <v>0</v>
      </c>
      <c r="L13" s="461">
        <f t="shared" si="0"/>
        <v>0</v>
      </c>
      <c r="M13" s="456"/>
      <c r="N13" s="457"/>
      <c r="O13" s="458"/>
      <c r="P13" s="456"/>
      <c r="Q13" s="457"/>
      <c r="R13" s="458"/>
    </row>
    <row r="14" spans="1:18" ht="15.6" x14ac:dyDescent="0.3">
      <c r="A14" s="45" t="str">
        <f t="shared" si="1"/>
        <v>Unitil</v>
      </c>
      <c r="B14" s="451" t="s">
        <v>7</v>
      </c>
      <c r="C14" s="454" t="s">
        <v>368</v>
      </c>
      <c r="D14" s="456"/>
      <c r="E14" s="457"/>
      <c r="F14" s="458"/>
      <c r="G14" s="456"/>
      <c r="H14" s="457"/>
      <c r="I14" s="458"/>
      <c r="J14" s="459">
        <f t="shared" si="2"/>
        <v>0</v>
      </c>
      <c r="K14" s="460">
        <f t="shared" si="0"/>
        <v>0</v>
      </c>
      <c r="L14" s="461">
        <f t="shared" si="0"/>
        <v>0</v>
      </c>
      <c r="M14" s="456"/>
      <c r="N14" s="457"/>
      <c r="O14" s="458"/>
      <c r="P14" s="456"/>
      <c r="Q14" s="457"/>
      <c r="R14" s="458"/>
    </row>
    <row r="15" spans="1:18" ht="15.6" x14ac:dyDescent="0.3">
      <c r="A15" s="45" t="str">
        <f t="shared" si="1"/>
        <v>Unitil</v>
      </c>
      <c r="B15" s="451" t="s">
        <v>7</v>
      </c>
      <c r="C15" s="454" t="s">
        <v>369</v>
      </c>
      <c r="D15" s="456"/>
      <c r="E15" s="457"/>
      <c r="F15" s="458"/>
      <c r="G15" s="456"/>
      <c r="H15" s="457"/>
      <c r="I15" s="458"/>
      <c r="J15" s="459">
        <f t="shared" si="2"/>
        <v>0</v>
      </c>
      <c r="K15" s="460">
        <f t="shared" si="0"/>
        <v>0</v>
      </c>
      <c r="L15" s="461">
        <f t="shared" si="0"/>
        <v>0</v>
      </c>
      <c r="M15" s="456"/>
      <c r="N15" s="457"/>
      <c r="O15" s="458"/>
      <c r="P15" s="456"/>
      <c r="Q15" s="457"/>
      <c r="R15" s="458"/>
    </row>
    <row r="16" spans="1:18" ht="15.6" x14ac:dyDescent="0.3">
      <c r="A16" s="45" t="str">
        <f t="shared" si="1"/>
        <v>Unitil</v>
      </c>
      <c r="B16" s="451" t="s">
        <v>7</v>
      </c>
      <c r="C16" s="454" t="s">
        <v>367</v>
      </c>
      <c r="D16" s="456"/>
      <c r="E16" s="457"/>
      <c r="F16" s="458"/>
      <c r="G16" s="456"/>
      <c r="H16" s="457"/>
      <c r="I16" s="458"/>
      <c r="J16" s="459">
        <f t="shared" si="2"/>
        <v>0</v>
      </c>
      <c r="K16" s="460">
        <f t="shared" si="0"/>
        <v>0</v>
      </c>
      <c r="L16" s="461">
        <f t="shared" si="0"/>
        <v>0</v>
      </c>
      <c r="M16" s="456"/>
      <c r="N16" s="457"/>
      <c r="O16" s="458"/>
      <c r="P16" s="456"/>
      <c r="Q16" s="457"/>
      <c r="R16" s="458"/>
    </row>
    <row r="17" spans="1:21" s="123" customFormat="1" ht="15.6" x14ac:dyDescent="0.3">
      <c r="A17" s="45" t="str">
        <f t="shared" si="1"/>
        <v>Unitil</v>
      </c>
      <c r="B17" s="451" t="s">
        <v>7</v>
      </c>
      <c r="C17" s="454" t="s">
        <v>382</v>
      </c>
      <c r="D17" s="456"/>
      <c r="E17" s="457"/>
      <c r="F17" s="458"/>
      <c r="G17" s="456"/>
      <c r="H17" s="457"/>
      <c r="I17" s="458"/>
      <c r="J17" s="459">
        <f t="shared" ref="J17" si="3">IFERROR(((G17-D17)/D17),0)</f>
        <v>0</v>
      </c>
      <c r="K17" s="460">
        <f t="shared" ref="K17" si="4">IFERROR(((H17-E17)/E17),0)</f>
        <v>0</v>
      </c>
      <c r="L17" s="461">
        <f t="shared" ref="L17" si="5">IFERROR(((I17-F17)/F17),0)</f>
        <v>0</v>
      </c>
      <c r="M17" s="456"/>
      <c r="N17" s="457"/>
      <c r="O17" s="458"/>
      <c r="P17" s="456"/>
      <c r="Q17" s="457"/>
      <c r="R17" s="458"/>
    </row>
    <row r="18" spans="1:21" ht="15.6" x14ac:dyDescent="0.3">
      <c r="A18" s="45" t="str">
        <f t="shared" si="1"/>
        <v>Unitil</v>
      </c>
      <c r="B18" s="451" t="s">
        <v>8</v>
      </c>
      <c r="C18" s="454" t="s">
        <v>370</v>
      </c>
      <c r="D18" s="456"/>
      <c r="E18" s="457"/>
      <c r="F18" s="458"/>
      <c r="G18" s="456"/>
      <c r="H18" s="457"/>
      <c r="I18" s="458"/>
      <c r="J18" s="459">
        <f t="shared" si="2"/>
        <v>0</v>
      </c>
      <c r="K18" s="460">
        <f t="shared" si="0"/>
        <v>0</v>
      </c>
      <c r="L18" s="461">
        <f t="shared" si="0"/>
        <v>0</v>
      </c>
      <c r="M18" s="456"/>
      <c r="N18" s="457"/>
      <c r="O18" s="458"/>
      <c r="P18" s="456"/>
      <c r="Q18" s="457"/>
      <c r="R18" s="458"/>
    </row>
    <row r="19" spans="1:21" ht="15.6" x14ac:dyDescent="0.3">
      <c r="A19" s="45" t="str">
        <f t="shared" si="1"/>
        <v>Unitil</v>
      </c>
      <c r="B19" s="451" t="s">
        <v>8</v>
      </c>
      <c r="C19" s="454" t="s">
        <v>371</v>
      </c>
      <c r="D19" s="456"/>
      <c r="E19" s="457"/>
      <c r="F19" s="458"/>
      <c r="G19" s="456"/>
      <c r="H19" s="457"/>
      <c r="I19" s="458"/>
      <c r="J19" s="459">
        <f t="shared" si="2"/>
        <v>0</v>
      </c>
      <c r="K19" s="460">
        <f t="shared" si="0"/>
        <v>0</v>
      </c>
      <c r="L19" s="461">
        <f t="shared" si="0"/>
        <v>0</v>
      </c>
      <c r="M19" s="456"/>
      <c r="N19" s="457"/>
      <c r="O19" s="458"/>
      <c r="P19" s="456"/>
      <c r="Q19" s="457"/>
      <c r="R19" s="458"/>
    </row>
    <row r="20" spans="1:21" ht="15.6" x14ac:dyDescent="0.3">
      <c r="A20" s="45" t="str">
        <f t="shared" si="1"/>
        <v>Unitil</v>
      </c>
      <c r="B20" s="451" t="s">
        <v>8</v>
      </c>
      <c r="C20" s="454" t="s">
        <v>372</v>
      </c>
      <c r="D20" s="481">
        <v>35</v>
      </c>
      <c r="E20" s="482">
        <v>510000</v>
      </c>
      <c r="F20" s="482">
        <v>510000</v>
      </c>
      <c r="G20" s="481">
        <v>19</v>
      </c>
      <c r="H20" s="482">
        <v>143873</v>
      </c>
      <c r="I20" s="483">
        <v>484428</v>
      </c>
      <c r="J20" s="484">
        <f t="shared" si="2"/>
        <v>-0.45714285714285713</v>
      </c>
      <c r="K20" s="485">
        <f t="shared" si="0"/>
        <v>-0.7178960784313726</v>
      </c>
      <c r="L20" s="486">
        <f t="shared" si="0"/>
        <v>-5.0141176470588238E-2</v>
      </c>
      <c r="M20" s="481">
        <v>17</v>
      </c>
      <c r="N20" s="482">
        <v>102024</v>
      </c>
      <c r="O20" s="483">
        <v>565600</v>
      </c>
      <c r="P20" s="481">
        <v>0</v>
      </c>
      <c r="Q20" s="482">
        <v>709500</v>
      </c>
      <c r="R20" s="483">
        <v>0</v>
      </c>
      <c r="S20" s="72"/>
      <c r="T20" s="72"/>
      <c r="U20" s="72"/>
    </row>
    <row r="21" spans="1:21" ht="15.6" x14ac:dyDescent="0.3">
      <c r="A21" s="45" t="str">
        <f t="shared" si="1"/>
        <v>Unitil</v>
      </c>
      <c r="B21" s="451" t="s">
        <v>8</v>
      </c>
      <c r="C21" s="454" t="s">
        <v>373</v>
      </c>
      <c r="D21" s="481">
        <v>10</v>
      </c>
      <c r="E21" s="482">
        <v>148000</v>
      </c>
      <c r="F21" s="482">
        <v>148000</v>
      </c>
      <c r="G21" s="481">
        <v>4</v>
      </c>
      <c r="H21" s="482">
        <v>69789</v>
      </c>
      <c r="I21" s="483">
        <v>521112</v>
      </c>
      <c r="J21" s="377">
        <f t="shared" si="2"/>
        <v>-0.6</v>
      </c>
      <c r="K21" s="378">
        <f t="shared" si="0"/>
        <v>-0.52845270270270273</v>
      </c>
      <c r="L21" s="379">
        <f t="shared" si="0"/>
        <v>2.521027027027027</v>
      </c>
      <c r="M21" s="273">
        <v>3</v>
      </c>
      <c r="N21" s="482">
        <v>221349</v>
      </c>
      <c r="O21" s="483">
        <v>113400</v>
      </c>
      <c r="P21" s="273">
        <v>0</v>
      </c>
      <c r="Q21" s="274">
        <v>35250</v>
      </c>
      <c r="R21" s="275">
        <v>0</v>
      </c>
    </row>
    <row r="22" spans="1:21" ht="15.6" x14ac:dyDescent="0.3">
      <c r="A22" s="45" t="str">
        <f t="shared" si="1"/>
        <v>Unitil</v>
      </c>
      <c r="B22" s="451" t="s">
        <v>8</v>
      </c>
      <c r="C22" s="454" t="s">
        <v>374</v>
      </c>
      <c r="D22" s="481">
        <v>4</v>
      </c>
      <c r="E22" s="482">
        <v>71568</v>
      </c>
      <c r="F22" s="482">
        <v>71568</v>
      </c>
      <c r="G22" s="481">
        <v>1</v>
      </c>
      <c r="H22" s="482">
        <f>12393+30869.17</f>
        <v>43262.17</v>
      </c>
      <c r="I22" s="483">
        <f>27349.65+41843.1</f>
        <v>69192.75</v>
      </c>
      <c r="J22" s="377">
        <f t="shared" si="2"/>
        <v>-0.75</v>
      </c>
      <c r="K22" s="378">
        <f t="shared" si="0"/>
        <v>-0.39550958528951491</v>
      </c>
      <c r="L22" s="379">
        <f t="shared" si="0"/>
        <v>-3.318871562709591E-2</v>
      </c>
      <c r="M22" s="273">
        <v>2</v>
      </c>
      <c r="N22" s="274">
        <v>60000</v>
      </c>
      <c r="O22" s="275">
        <v>60000</v>
      </c>
      <c r="P22" s="273">
        <v>1</v>
      </c>
      <c r="Q22" s="274">
        <v>18000</v>
      </c>
      <c r="R22" s="275">
        <v>18000</v>
      </c>
    </row>
    <row r="23" spans="1:21" ht="15.6" x14ac:dyDescent="0.3">
      <c r="A23" s="45" t="str">
        <f t="shared" si="1"/>
        <v>Unitil</v>
      </c>
      <c r="B23" s="451" t="s">
        <v>8</v>
      </c>
      <c r="C23" s="454" t="s">
        <v>375</v>
      </c>
      <c r="D23" s="481">
        <v>42</v>
      </c>
      <c r="E23" s="482">
        <v>550000</v>
      </c>
      <c r="F23" s="482">
        <v>550000</v>
      </c>
      <c r="G23" s="481">
        <v>22</v>
      </c>
      <c r="H23" s="482">
        <v>242366</v>
      </c>
      <c r="I23" s="483">
        <v>512512</v>
      </c>
      <c r="J23" s="377">
        <f t="shared" si="2"/>
        <v>-0.47619047619047616</v>
      </c>
      <c r="K23" s="378">
        <f t="shared" si="0"/>
        <v>-0.55933454545454542</v>
      </c>
      <c r="L23" s="379">
        <f t="shared" si="0"/>
        <v>-6.8159999999999998E-2</v>
      </c>
      <c r="M23" s="273">
        <v>21</v>
      </c>
      <c r="N23" s="482">
        <v>107280</v>
      </c>
      <c r="O23" s="483">
        <v>215500</v>
      </c>
      <c r="P23" s="273">
        <v>0</v>
      </c>
      <c r="Q23" s="274">
        <v>34700</v>
      </c>
      <c r="R23" s="275">
        <v>0</v>
      </c>
    </row>
    <row r="24" spans="1:21" ht="31.2" x14ac:dyDescent="0.3">
      <c r="A24" s="45" t="str">
        <f t="shared" si="1"/>
        <v>Unitil</v>
      </c>
      <c r="B24" s="451" t="s">
        <v>9</v>
      </c>
      <c r="C24" s="454" t="s">
        <v>357</v>
      </c>
      <c r="D24" s="273">
        <v>2</v>
      </c>
      <c r="E24" s="482">
        <v>250000</v>
      </c>
      <c r="F24" s="483">
        <v>250000</v>
      </c>
      <c r="G24" s="481">
        <v>2</v>
      </c>
      <c r="H24" s="482">
        <f>D60</f>
        <v>103435.13</v>
      </c>
      <c r="I24" s="483">
        <f>D60</f>
        <v>103435.13</v>
      </c>
      <c r="J24" s="377">
        <f t="shared" si="2"/>
        <v>0</v>
      </c>
      <c r="K24" s="378">
        <f t="shared" si="0"/>
        <v>-0.58625947999999994</v>
      </c>
      <c r="L24" s="379">
        <f t="shared" si="0"/>
        <v>-0.58625947999999994</v>
      </c>
      <c r="M24" s="273">
        <v>1</v>
      </c>
      <c r="N24" s="274">
        <v>50000</v>
      </c>
      <c r="O24" s="275">
        <v>50000</v>
      </c>
      <c r="P24" s="273">
        <v>1</v>
      </c>
      <c r="Q24" s="274">
        <v>125000</v>
      </c>
      <c r="R24" s="275">
        <v>125000</v>
      </c>
    </row>
    <row r="25" spans="1:21" ht="31.2" x14ac:dyDescent="0.3">
      <c r="A25" s="45" t="str">
        <f t="shared" si="1"/>
        <v>Unitil</v>
      </c>
      <c r="B25" s="451" t="s">
        <v>376</v>
      </c>
      <c r="C25" s="454" t="s">
        <v>10</v>
      </c>
      <c r="D25" s="456"/>
      <c r="E25" s="457"/>
      <c r="F25" s="458"/>
      <c r="G25" s="456"/>
      <c r="H25" s="457"/>
      <c r="I25" s="458"/>
      <c r="J25" s="459">
        <f t="shared" si="2"/>
        <v>0</v>
      </c>
      <c r="K25" s="460">
        <f t="shared" si="0"/>
        <v>0</v>
      </c>
      <c r="L25" s="461">
        <f t="shared" si="0"/>
        <v>0</v>
      </c>
      <c r="M25" s="456"/>
      <c r="N25" s="457"/>
      <c r="O25" s="458"/>
      <c r="P25" s="456"/>
      <c r="Q25" s="457"/>
      <c r="R25" s="458"/>
    </row>
    <row r="26" spans="1:21" ht="31.2" x14ac:dyDescent="0.3">
      <c r="A26" s="45" t="str">
        <f t="shared" si="1"/>
        <v>Unitil</v>
      </c>
      <c r="B26" s="451" t="s">
        <v>376</v>
      </c>
      <c r="C26" s="454" t="s">
        <v>335</v>
      </c>
      <c r="D26" s="456"/>
      <c r="E26" s="457"/>
      <c r="F26" s="458"/>
      <c r="G26" s="456"/>
      <c r="H26" s="457"/>
      <c r="I26" s="458"/>
      <c r="J26" s="459">
        <f t="shared" si="2"/>
        <v>0</v>
      </c>
      <c r="K26" s="460">
        <f t="shared" si="2"/>
        <v>0</v>
      </c>
      <c r="L26" s="461">
        <f t="shared" si="2"/>
        <v>0</v>
      </c>
      <c r="M26" s="456"/>
      <c r="N26" s="457"/>
      <c r="O26" s="458"/>
      <c r="P26" s="456"/>
      <c r="Q26" s="457"/>
      <c r="R26" s="458"/>
    </row>
    <row r="27" spans="1:21" ht="31.2" x14ac:dyDescent="0.3">
      <c r="A27" s="45" t="str">
        <f t="shared" si="1"/>
        <v>Unitil</v>
      </c>
      <c r="B27" s="451" t="s">
        <v>10</v>
      </c>
      <c r="C27" s="454" t="s">
        <v>377</v>
      </c>
      <c r="D27" s="456"/>
      <c r="E27" s="457"/>
      <c r="F27" s="458"/>
      <c r="G27" s="456"/>
      <c r="H27" s="457"/>
      <c r="I27" s="458"/>
      <c r="J27" s="459">
        <f>IFERROR(((G27-D27)/D27),0)</f>
        <v>0</v>
      </c>
      <c r="K27" s="460">
        <f t="shared" ref="K27:L27" si="6">IFERROR(((H27-E27)/E27),0)</f>
        <v>0</v>
      </c>
      <c r="L27" s="461">
        <f t="shared" si="6"/>
        <v>0</v>
      </c>
      <c r="M27" s="456"/>
      <c r="N27" s="457"/>
      <c r="O27" s="458"/>
      <c r="P27" s="456"/>
      <c r="Q27" s="457"/>
      <c r="R27" s="458"/>
    </row>
    <row r="28" spans="1:21" ht="31.2" x14ac:dyDescent="0.3">
      <c r="A28" s="45" t="str">
        <f t="shared" si="1"/>
        <v>Unitil</v>
      </c>
      <c r="B28" s="451" t="s">
        <v>10</v>
      </c>
      <c r="C28" s="454" t="s">
        <v>378</v>
      </c>
      <c r="D28" s="456"/>
      <c r="E28" s="457"/>
      <c r="F28" s="458"/>
      <c r="G28" s="456"/>
      <c r="H28" s="457"/>
      <c r="I28" s="458"/>
      <c r="J28" s="459">
        <f t="shared" ref="J28:J42" si="7">IFERROR(((G28-D28)/D28),0)</f>
        <v>0</v>
      </c>
      <c r="K28" s="460">
        <f t="shared" ref="K28:K42" si="8">IFERROR(((H28-E28)/E28),0)</f>
        <v>0</v>
      </c>
      <c r="L28" s="461">
        <f t="shared" ref="L28:L42" si="9">IFERROR(((I28-F28)/F28),0)</f>
        <v>0</v>
      </c>
      <c r="M28" s="456"/>
      <c r="N28" s="457"/>
      <c r="O28" s="458"/>
      <c r="P28" s="456"/>
      <c r="Q28" s="457"/>
      <c r="R28" s="458"/>
    </row>
    <row r="29" spans="1:21" s="7" customFormat="1" ht="15.6" x14ac:dyDescent="0.3">
      <c r="A29" s="45" t="str">
        <f t="shared" si="1"/>
        <v>Unitil</v>
      </c>
      <c r="B29" s="451" t="s">
        <v>10</v>
      </c>
      <c r="C29" s="454" t="s">
        <v>359</v>
      </c>
      <c r="D29" s="273"/>
      <c r="E29" s="274"/>
      <c r="F29" s="275"/>
      <c r="G29" s="273"/>
      <c r="H29" s="274"/>
      <c r="I29" s="275"/>
      <c r="J29" s="377">
        <f t="shared" si="7"/>
        <v>0</v>
      </c>
      <c r="K29" s="378">
        <f t="shared" si="8"/>
        <v>0</v>
      </c>
      <c r="L29" s="379">
        <f t="shared" si="9"/>
        <v>0</v>
      </c>
      <c r="M29" s="273"/>
      <c r="N29" s="274"/>
      <c r="O29" s="275"/>
      <c r="P29" s="273"/>
      <c r="Q29" s="274"/>
      <c r="R29" s="275"/>
    </row>
    <row r="30" spans="1:21" ht="15.6" x14ac:dyDescent="0.3">
      <c r="A30" s="45" t="str">
        <f t="shared" si="1"/>
        <v>Unitil</v>
      </c>
      <c r="B30" s="451" t="s">
        <v>336</v>
      </c>
      <c r="C30" s="454" t="s">
        <v>339</v>
      </c>
      <c r="D30" s="456"/>
      <c r="E30" s="457"/>
      <c r="F30" s="458"/>
      <c r="G30" s="456"/>
      <c r="H30" s="457"/>
      <c r="I30" s="458"/>
      <c r="J30" s="459">
        <f t="shared" si="7"/>
        <v>0</v>
      </c>
      <c r="K30" s="460">
        <f t="shared" si="8"/>
        <v>0</v>
      </c>
      <c r="L30" s="461">
        <f t="shared" si="9"/>
        <v>0</v>
      </c>
      <c r="M30" s="456"/>
      <c r="N30" s="457"/>
      <c r="O30" s="458"/>
      <c r="P30" s="456"/>
      <c r="Q30" s="457"/>
      <c r="R30" s="458"/>
    </row>
    <row r="31" spans="1:21" ht="31.2" x14ac:dyDescent="0.3">
      <c r="A31" s="45" t="str">
        <f t="shared" si="1"/>
        <v>Unitil</v>
      </c>
      <c r="B31" s="451" t="s">
        <v>336</v>
      </c>
      <c r="C31" s="454" t="s">
        <v>379</v>
      </c>
      <c r="D31" s="469"/>
      <c r="E31" s="470"/>
      <c r="F31" s="471"/>
      <c r="G31" s="456"/>
      <c r="H31" s="457"/>
      <c r="I31" s="458"/>
      <c r="J31" s="459">
        <f t="shared" si="7"/>
        <v>0</v>
      </c>
      <c r="K31" s="460">
        <f t="shared" si="8"/>
        <v>0</v>
      </c>
      <c r="L31" s="461">
        <f t="shared" si="9"/>
        <v>0</v>
      </c>
      <c r="M31" s="469"/>
      <c r="N31" s="470"/>
      <c r="O31" s="471"/>
      <c r="P31" s="469"/>
      <c r="Q31" s="470"/>
      <c r="R31" s="471"/>
    </row>
    <row r="32" spans="1:21" ht="15.6" x14ac:dyDescent="0.3">
      <c r="A32" s="45" t="str">
        <f t="shared" si="1"/>
        <v>Unitil</v>
      </c>
      <c r="B32" s="451" t="s">
        <v>342</v>
      </c>
      <c r="C32" s="454" t="s">
        <v>358</v>
      </c>
      <c r="D32" s="279"/>
      <c r="E32" s="274"/>
      <c r="F32" s="275"/>
      <c r="G32" s="273"/>
      <c r="H32" s="274"/>
      <c r="I32" s="275"/>
      <c r="J32" s="377">
        <f t="shared" si="7"/>
        <v>0</v>
      </c>
      <c r="K32" s="378">
        <f t="shared" si="8"/>
        <v>0</v>
      </c>
      <c r="L32" s="379">
        <f t="shared" si="9"/>
        <v>0</v>
      </c>
      <c r="M32" s="279"/>
      <c r="N32" s="274"/>
      <c r="O32" s="275"/>
      <c r="P32" s="279"/>
      <c r="Q32" s="274"/>
      <c r="R32" s="275"/>
    </row>
    <row r="33" spans="1:18" ht="15.6" x14ac:dyDescent="0.3">
      <c r="A33" s="45" t="str">
        <f t="shared" si="1"/>
        <v>Unitil</v>
      </c>
      <c r="B33" s="451" t="s">
        <v>342</v>
      </c>
      <c r="C33" s="454" t="s">
        <v>380</v>
      </c>
      <c r="D33" s="462"/>
      <c r="E33" s="457"/>
      <c r="F33" s="458"/>
      <c r="G33" s="456"/>
      <c r="H33" s="457"/>
      <c r="I33" s="458"/>
      <c r="J33" s="459">
        <f t="shared" si="7"/>
        <v>0</v>
      </c>
      <c r="K33" s="460">
        <f t="shared" si="8"/>
        <v>0</v>
      </c>
      <c r="L33" s="461">
        <f t="shared" si="9"/>
        <v>0</v>
      </c>
      <c r="M33" s="462"/>
      <c r="N33" s="457"/>
      <c r="O33" s="458"/>
      <c r="P33" s="462"/>
      <c r="Q33" s="457"/>
      <c r="R33" s="458"/>
    </row>
    <row r="34" spans="1:18" ht="15.6" x14ac:dyDescent="0.3">
      <c r="A34" s="45" t="str">
        <f t="shared" si="1"/>
        <v>Unitil</v>
      </c>
      <c r="B34" s="451" t="s">
        <v>341</v>
      </c>
      <c r="C34" s="454"/>
      <c r="D34" s="463"/>
      <c r="E34" s="464"/>
      <c r="F34" s="465"/>
      <c r="G34" s="456"/>
      <c r="H34" s="457"/>
      <c r="I34" s="458"/>
      <c r="J34" s="459">
        <f t="shared" si="7"/>
        <v>0</v>
      </c>
      <c r="K34" s="460">
        <f t="shared" si="8"/>
        <v>0</v>
      </c>
      <c r="L34" s="461">
        <f t="shared" si="9"/>
        <v>0</v>
      </c>
      <c r="M34" s="463"/>
      <c r="N34" s="464"/>
      <c r="O34" s="465"/>
      <c r="P34" s="463"/>
      <c r="Q34" s="464"/>
      <c r="R34" s="465"/>
    </row>
    <row r="35" spans="1:18" s="123" customFormat="1" ht="15.6" x14ac:dyDescent="0.3">
      <c r="A35" s="45" t="str">
        <f t="shared" si="1"/>
        <v>Unitil</v>
      </c>
      <c r="B35" s="451" t="s">
        <v>362</v>
      </c>
      <c r="C35" s="454" t="s">
        <v>337</v>
      </c>
      <c r="D35" s="520">
        <v>3</v>
      </c>
      <c r="E35" s="521">
        <v>753000</v>
      </c>
      <c r="F35" s="522">
        <v>756393.87</v>
      </c>
      <c r="G35" s="481">
        <v>0</v>
      </c>
      <c r="H35" s="482">
        <v>91628.85</v>
      </c>
      <c r="I35" s="483">
        <v>0</v>
      </c>
      <c r="J35" s="484">
        <f t="shared" si="7"/>
        <v>-1</v>
      </c>
      <c r="K35" s="485">
        <f t="shared" si="8"/>
        <v>-0.87831494023904388</v>
      </c>
      <c r="L35" s="486">
        <f t="shared" si="9"/>
        <v>-1</v>
      </c>
      <c r="M35" s="520">
        <v>4</v>
      </c>
      <c r="N35" s="521">
        <v>863000</v>
      </c>
      <c r="O35" s="522">
        <v>863000</v>
      </c>
      <c r="P35" s="520">
        <v>0</v>
      </c>
      <c r="Q35" s="521">
        <v>0</v>
      </c>
      <c r="R35" s="522">
        <v>0</v>
      </c>
    </row>
    <row r="36" spans="1:18" s="123" customFormat="1" ht="15.6" x14ac:dyDescent="0.3">
      <c r="A36" s="45" t="str">
        <f t="shared" si="1"/>
        <v>Unitil</v>
      </c>
      <c r="B36" s="451" t="s">
        <v>11</v>
      </c>
      <c r="C36" s="454" t="s">
        <v>360</v>
      </c>
      <c r="D36" s="463"/>
      <c r="E36" s="464"/>
      <c r="F36" s="465"/>
      <c r="G36" s="456"/>
      <c r="H36" s="457"/>
      <c r="I36" s="458"/>
      <c r="J36" s="459">
        <f t="shared" si="7"/>
        <v>0</v>
      </c>
      <c r="K36" s="460">
        <f t="shared" si="8"/>
        <v>0</v>
      </c>
      <c r="L36" s="461">
        <f t="shared" si="9"/>
        <v>0</v>
      </c>
      <c r="M36" s="463"/>
      <c r="N36" s="464">
        <v>66534</v>
      </c>
      <c r="O36" s="465">
        <v>66534</v>
      </c>
      <c r="P36" s="463"/>
      <c r="Q36" s="464">
        <v>50000</v>
      </c>
      <c r="R36" s="465">
        <v>50000</v>
      </c>
    </row>
    <row r="37" spans="1:18" s="123" customFormat="1" ht="15.6" x14ac:dyDescent="0.3">
      <c r="A37" s="45" t="str">
        <f t="shared" si="1"/>
        <v>Unitil</v>
      </c>
      <c r="B37" s="451" t="s">
        <v>350</v>
      </c>
      <c r="C37" s="454" t="s">
        <v>363</v>
      </c>
      <c r="D37" s="279"/>
      <c r="E37" s="274"/>
      <c r="F37" s="275"/>
      <c r="G37" s="273"/>
      <c r="H37" s="274"/>
      <c r="I37" s="275"/>
      <c r="J37" s="380">
        <f t="shared" si="7"/>
        <v>0</v>
      </c>
      <c r="K37" s="381">
        <f t="shared" si="8"/>
        <v>0</v>
      </c>
      <c r="L37" s="382">
        <f t="shared" si="9"/>
        <v>0</v>
      </c>
      <c r="M37" s="279"/>
      <c r="N37" s="274"/>
      <c r="O37" s="275"/>
      <c r="P37" s="279"/>
      <c r="Q37" s="274"/>
      <c r="R37" s="275"/>
    </row>
    <row r="38" spans="1:18" s="123" customFormat="1" ht="15.6" x14ac:dyDescent="0.3">
      <c r="A38" s="45" t="str">
        <f t="shared" si="1"/>
        <v>Unitil</v>
      </c>
      <c r="B38" s="451" t="s">
        <v>350</v>
      </c>
      <c r="C38" s="454" t="s">
        <v>354</v>
      </c>
      <c r="D38" s="279"/>
      <c r="E38" s="274"/>
      <c r="F38" s="275"/>
      <c r="G38" s="273"/>
      <c r="H38" s="274"/>
      <c r="I38" s="275"/>
      <c r="J38" s="380">
        <f t="shared" si="7"/>
        <v>0</v>
      </c>
      <c r="K38" s="381">
        <f t="shared" si="8"/>
        <v>0</v>
      </c>
      <c r="L38" s="382">
        <f t="shared" si="9"/>
        <v>0</v>
      </c>
      <c r="M38" s="279"/>
      <c r="N38" s="274"/>
      <c r="O38" s="275"/>
      <c r="P38" s="279"/>
      <c r="Q38" s="274"/>
      <c r="R38" s="275"/>
    </row>
    <row r="39" spans="1:18" s="123" customFormat="1" ht="31.2" x14ac:dyDescent="0.3">
      <c r="A39" s="45" t="str">
        <f t="shared" si="1"/>
        <v>Unitil</v>
      </c>
      <c r="B39" s="451" t="s">
        <v>350</v>
      </c>
      <c r="C39" s="454" t="s">
        <v>381</v>
      </c>
      <c r="D39" s="462"/>
      <c r="E39" s="457"/>
      <c r="F39" s="458"/>
      <c r="G39" s="456"/>
      <c r="H39" s="457"/>
      <c r="I39" s="458"/>
      <c r="J39" s="466">
        <f t="shared" si="7"/>
        <v>0</v>
      </c>
      <c r="K39" s="467">
        <f t="shared" si="8"/>
        <v>0</v>
      </c>
      <c r="L39" s="468">
        <f t="shared" si="9"/>
        <v>0</v>
      </c>
      <c r="M39" s="462"/>
      <c r="N39" s="457"/>
      <c r="O39" s="458"/>
      <c r="P39" s="462"/>
      <c r="Q39" s="457"/>
      <c r="R39" s="458"/>
    </row>
    <row r="40" spans="1:18" s="123" customFormat="1" ht="31.2" x14ac:dyDescent="0.3">
      <c r="A40" s="45" t="str">
        <f t="shared" si="1"/>
        <v>Unitil</v>
      </c>
      <c r="B40" s="451" t="s">
        <v>351</v>
      </c>
      <c r="C40" s="454" t="s">
        <v>351</v>
      </c>
      <c r="D40" s="279"/>
      <c r="E40" s="274"/>
      <c r="F40" s="275"/>
      <c r="G40" s="273"/>
      <c r="H40" s="274"/>
      <c r="I40" s="275"/>
      <c r="J40" s="380">
        <f t="shared" si="7"/>
        <v>0</v>
      </c>
      <c r="K40" s="381">
        <f t="shared" si="8"/>
        <v>0</v>
      </c>
      <c r="L40" s="382">
        <f t="shared" si="9"/>
        <v>0</v>
      </c>
      <c r="M40" s="279"/>
      <c r="N40" s="274">
        <v>4580922</v>
      </c>
      <c r="O40" s="275">
        <v>0</v>
      </c>
      <c r="P40" s="279"/>
      <c r="Q40" s="274">
        <v>6672457</v>
      </c>
      <c r="R40" s="275">
        <f>N40+Q40</f>
        <v>11253379</v>
      </c>
    </row>
    <row r="41" spans="1:18" ht="31.2" x14ac:dyDescent="0.3">
      <c r="A41" s="45" t="str">
        <f t="shared" si="1"/>
        <v>Unitil</v>
      </c>
      <c r="B41" s="451" t="s">
        <v>352</v>
      </c>
      <c r="C41" s="454" t="s">
        <v>352</v>
      </c>
      <c r="D41" s="279"/>
      <c r="E41" s="274">
        <v>91000</v>
      </c>
      <c r="F41" s="275">
        <v>91000</v>
      </c>
      <c r="G41" s="273"/>
      <c r="H41" s="274">
        <v>9119.91</v>
      </c>
      <c r="I41" s="275"/>
      <c r="J41" s="380">
        <f t="shared" si="7"/>
        <v>0</v>
      </c>
      <c r="K41" s="381">
        <f t="shared" si="8"/>
        <v>-0.89978120879120871</v>
      </c>
      <c r="L41" s="382">
        <f t="shared" si="9"/>
        <v>-1</v>
      </c>
      <c r="M41" s="279"/>
      <c r="N41" s="274"/>
      <c r="O41" s="275"/>
      <c r="P41" s="279"/>
      <c r="Q41" s="274"/>
      <c r="R41" s="275"/>
    </row>
    <row r="42" spans="1:18" ht="16.2" thickBot="1" x14ac:dyDescent="0.35">
      <c r="A42" s="46" t="str">
        <f t="shared" si="1"/>
        <v>Unitil</v>
      </c>
      <c r="B42" s="452" t="s">
        <v>353</v>
      </c>
      <c r="C42" s="455" t="s">
        <v>353</v>
      </c>
      <c r="D42" s="472">
        <v>0</v>
      </c>
      <c r="E42" s="482">
        <v>191000</v>
      </c>
      <c r="F42" s="483">
        <v>222237.91</v>
      </c>
      <c r="G42" s="475">
        <v>0</v>
      </c>
      <c r="H42" s="473">
        <v>0</v>
      </c>
      <c r="I42" s="474">
        <v>0</v>
      </c>
      <c r="J42" s="380">
        <f t="shared" si="7"/>
        <v>0</v>
      </c>
      <c r="K42" s="381">
        <f t="shared" si="8"/>
        <v>-1</v>
      </c>
      <c r="L42" s="382">
        <f t="shared" si="9"/>
        <v>-1</v>
      </c>
      <c r="M42" s="625"/>
      <c r="N42" s="626">
        <v>466000</v>
      </c>
      <c r="O42" s="627">
        <v>466000</v>
      </c>
      <c r="P42" s="625"/>
      <c r="Q42" s="626">
        <v>78000</v>
      </c>
      <c r="R42" s="627">
        <v>78000</v>
      </c>
    </row>
    <row r="43" spans="1:18" ht="15" thickBot="1" x14ac:dyDescent="0.35">
      <c r="B43" s="123"/>
      <c r="C43" s="439" t="s">
        <v>228</v>
      </c>
      <c r="D43" s="280">
        <f>SUM(D9:D42)</f>
        <v>99</v>
      </c>
      <c r="E43" s="280">
        <f t="shared" ref="E43:I43" si="10">SUM(E9:E42)</f>
        <v>2750568</v>
      </c>
      <c r="F43" s="281">
        <f t="shared" si="10"/>
        <v>2785199.7800000003</v>
      </c>
      <c r="G43" s="276">
        <f t="shared" si="10"/>
        <v>52</v>
      </c>
      <c r="H43" s="277">
        <f t="shared" si="10"/>
        <v>912343.94000000006</v>
      </c>
      <c r="I43" s="278">
        <f t="shared" si="10"/>
        <v>1932473.85</v>
      </c>
      <c r="J43" s="282"/>
      <c r="K43" s="283"/>
      <c r="L43" s="284"/>
      <c r="M43" s="280">
        <f>SUM(M9:M42)</f>
        <v>50</v>
      </c>
      <c r="N43" s="280">
        <f t="shared" ref="N43:O43" si="11">SUM(N9:N42)</f>
        <v>7157109</v>
      </c>
      <c r="O43" s="281">
        <f t="shared" si="11"/>
        <v>3040034</v>
      </c>
      <c r="P43" s="280">
        <f>SUM(P9:P42)</f>
        <v>3</v>
      </c>
      <c r="Q43" s="280">
        <f t="shared" ref="Q43:R43" si="12">SUM(Q9:Q42)</f>
        <v>7755907</v>
      </c>
      <c r="R43" s="281">
        <f t="shared" si="12"/>
        <v>11557379</v>
      </c>
    </row>
    <row r="44" spans="1:18" x14ac:dyDescent="0.3">
      <c r="B44" s="123"/>
      <c r="C44" s="123"/>
      <c r="D44" s="123"/>
      <c r="E44" s="123"/>
      <c r="G44" s="123"/>
      <c r="H44" s="123"/>
      <c r="J44" s="123"/>
      <c r="K44" s="123"/>
    </row>
    <row r="45" spans="1:18" ht="15" thickBot="1" x14ac:dyDescent="0.35">
      <c r="B45" s="359"/>
      <c r="C45" s="123"/>
      <c r="D45" s="443"/>
      <c r="E45" s="444"/>
      <c r="F45" s="444"/>
      <c r="G45" s="443"/>
      <c r="H45" s="444"/>
      <c r="J45" s="123"/>
      <c r="K45" s="123"/>
    </row>
    <row r="46" spans="1:18" ht="15" thickBot="1" x14ac:dyDescent="0.35">
      <c r="B46" s="359"/>
      <c r="C46" s="123"/>
      <c r="D46" s="476" t="s">
        <v>252</v>
      </c>
      <c r="E46" s="444"/>
      <c r="F46" s="444"/>
      <c r="G46" s="443"/>
      <c r="H46" s="444"/>
      <c r="J46" s="123"/>
      <c r="K46" s="123"/>
    </row>
    <row r="47" spans="1:18" ht="15" thickBot="1" x14ac:dyDescent="0.35">
      <c r="B47" s="123"/>
      <c r="C47" s="123"/>
      <c r="D47" s="477">
        <v>2023</v>
      </c>
      <c r="E47" s="444"/>
      <c r="F47" s="444"/>
      <c r="G47" s="443"/>
      <c r="H47" s="444"/>
      <c r="J47" s="123"/>
      <c r="K47" s="123"/>
    </row>
    <row r="48" spans="1:18" ht="15" thickBot="1" x14ac:dyDescent="0.35">
      <c r="B48" s="121" t="s">
        <v>223</v>
      </c>
      <c r="C48" s="121" t="s">
        <v>254</v>
      </c>
      <c r="D48" s="478" t="s">
        <v>232</v>
      </c>
      <c r="E48" s="444"/>
      <c r="F48" s="444"/>
      <c r="G48" s="443"/>
      <c r="H48" s="444"/>
      <c r="J48" s="123"/>
      <c r="K48" s="123"/>
    </row>
    <row r="49" spans="2:11" x14ac:dyDescent="0.3">
      <c r="B49" s="389" t="s">
        <v>343</v>
      </c>
      <c r="C49" s="389" t="s">
        <v>255</v>
      </c>
      <c r="D49" s="428">
        <v>46716.34</v>
      </c>
      <c r="E49" s="444"/>
      <c r="F49" s="444"/>
      <c r="G49" s="443"/>
      <c r="H49" s="444"/>
      <c r="J49" s="123"/>
      <c r="K49" s="123"/>
    </row>
    <row r="50" spans="2:11" x14ac:dyDescent="0.3">
      <c r="B50" s="389"/>
      <c r="C50" s="389" t="s">
        <v>256</v>
      </c>
      <c r="D50" s="428">
        <v>162153.54</v>
      </c>
      <c r="E50" s="444"/>
      <c r="F50" s="444"/>
      <c r="G50" s="443"/>
      <c r="H50" s="444"/>
      <c r="J50" s="123"/>
      <c r="K50" s="123"/>
    </row>
    <row r="51" spans="2:11" ht="15" thickBot="1" x14ac:dyDescent="0.35">
      <c r="B51" s="393"/>
      <c r="C51" s="394" t="s">
        <v>257</v>
      </c>
      <c r="D51" s="865">
        <f>SUM(D49:D50)</f>
        <v>208869.88</v>
      </c>
      <c r="E51" s="444"/>
      <c r="F51" s="444"/>
      <c r="G51" s="443"/>
      <c r="H51" s="444"/>
      <c r="J51" s="123"/>
      <c r="K51" s="123"/>
    </row>
    <row r="52" spans="2:11" x14ac:dyDescent="0.3">
      <c r="B52" s="389" t="s">
        <v>7</v>
      </c>
      <c r="C52" s="389" t="s">
        <v>255</v>
      </c>
      <c r="D52" s="428"/>
      <c r="E52" s="444"/>
      <c r="F52" s="444"/>
      <c r="G52" s="443"/>
      <c r="H52" s="444"/>
      <c r="J52" s="123"/>
      <c r="K52" s="123"/>
    </row>
    <row r="53" spans="2:11" x14ac:dyDescent="0.3">
      <c r="B53" s="389"/>
      <c r="C53" s="389" t="s">
        <v>256</v>
      </c>
      <c r="D53" s="428"/>
      <c r="E53" s="444"/>
      <c r="F53" s="444"/>
      <c r="G53" s="443"/>
      <c r="H53" s="444"/>
      <c r="J53" s="123"/>
      <c r="K53" s="123"/>
    </row>
    <row r="54" spans="2:11" ht="15" thickBot="1" x14ac:dyDescent="0.35">
      <c r="B54" s="393"/>
      <c r="C54" s="394" t="s">
        <v>257</v>
      </c>
      <c r="D54" s="414"/>
      <c r="E54" s="444"/>
      <c r="F54" s="444"/>
      <c r="G54" s="443"/>
      <c r="H54" s="444"/>
      <c r="J54" s="123"/>
      <c r="K54" s="123"/>
    </row>
    <row r="55" spans="2:11" x14ac:dyDescent="0.3">
      <c r="B55" s="389" t="s">
        <v>8</v>
      </c>
      <c r="C55" s="389" t="s">
        <v>255</v>
      </c>
      <c r="D55" s="779">
        <f>D57-D56</f>
        <v>448726.31</v>
      </c>
      <c r="E55" s="444"/>
      <c r="F55" s="444"/>
      <c r="G55" s="443"/>
      <c r="H55" s="444"/>
      <c r="J55" s="123"/>
      <c r="K55" s="123"/>
    </row>
    <row r="56" spans="2:11" x14ac:dyDescent="0.3">
      <c r="B56" s="389"/>
      <c r="C56" s="389" t="s">
        <v>256</v>
      </c>
      <c r="D56" s="779">
        <f>32993.63+17570.23</f>
        <v>50563.86</v>
      </c>
      <c r="E56" s="444"/>
      <c r="F56" s="444"/>
      <c r="G56" s="443"/>
      <c r="H56" s="444"/>
      <c r="J56" s="123"/>
      <c r="K56" s="123"/>
    </row>
    <row r="57" spans="2:11" ht="15" thickBot="1" x14ac:dyDescent="0.35">
      <c r="B57" s="393"/>
      <c r="C57" s="394" t="s">
        <v>257</v>
      </c>
      <c r="D57" s="865">
        <f>SUM(H20:H23)</f>
        <v>499290.17</v>
      </c>
      <c r="E57" s="444"/>
      <c r="F57" s="444"/>
      <c r="G57" s="443"/>
      <c r="H57" s="444"/>
      <c r="J57" s="123"/>
      <c r="K57" s="123"/>
    </row>
    <row r="58" spans="2:11" x14ac:dyDescent="0.3">
      <c r="B58" s="389" t="s">
        <v>9</v>
      </c>
      <c r="C58" s="389" t="s">
        <v>255</v>
      </c>
      <c r="D58" s="428">
        <f>78400+21600</f>
        <v>100000</v>
      </c>
      <c r="E58" s="444"/>
      <c r="F58" s="444"/>
      <c r="G58" s="443"/>
      <c r="H58" s="444"/>
      <c r="J58" s="123"/>
      <c r="K58" s="123"/>
    </row>
    <row r="59" spans="2:11" x14ac:dyDescent="0.3">
      <c r="B59" s="389"/>
      <c r="C59" s="389" t="s">
        <v>256</v>
      </c>
      <c r="D59" s="428">
        <v>3435.13</v>
      </c>
      <c r="E59" s="444"/>
      <c r="F59" s="444"/>
      <c r="G59" s="443"/>
      <c r="H59" s="444"/>
      <c r="J59" s="123"/>
      <c r="K59" s="123"/>
    </row>
    <row r="60" spans="2:11" ht="15" thickBot="1" x14ac:dyDescent="0.35">
      <c r="B60" s="393"/>
      <c r="C60" s="394" t="s">
        <v>257</v>
      </c>
      <c r="D60" s="865">
        <f>SUM(D58:D59)</f>
        <v>103435.13</v>
      </c>
      <c r="E60" s="444"/>
      <c r="F60" s="444"/>
      <c r="G60" s="443"/>
      <c r="H60" s="444"/>
      <c r="J60" s="123"/>
      <c r="K60" s="123"/>
    </row>
    <row r="61" spans="2:11" x14ac:dyDescent="0.3">
      <c r="B61" s="389" t="s">
        <v>335</v>
      </c>
      <c r="C61" s="389" t="s">
        <v>255</v>
      </c>
      <c r="D61" s="428"/>
      <c r="E61" s="444"/>
      <c r="F61" s="444"/>
      <c r="G61" s="443"/>
      <c r="H61" s="444"/>
      <c r="J61" s="123"/>
      <c r="K61" s="123"/>
    </row>
    <row r="62" spans="2:11" x14ac:dyDescent="0.3">
      <c r="B62" s="389"/>
      <c r="C62" s="389" t="s">
        <v>256</v>
      </c>
      <c r="D62" s="428"/>
      <c r="E62" s="444"/>
      <c r="F62" s="444"/>
      <c r="G62" s="443"/>
      <c r="H62" s="444"/>
      <c r="J62" s="123"/>
      <c r="K62" s="123"/>
    </row>
    <row r="63" spans="2:11" ht="15" thickBot="1" x14ac:dyDescent="0.35">
      <c r="B63" s="393"/>
      <c r="C63" s="394" t="s">
        <v>257</v>
      </c>
      <c r="D63" s="414"/>
      <c r="E63" s="444"/>
      <c r="F63" s="444"/>
      <c r="G63" s="443"/>
      <c r="H63" s="444"/>
      <c r="J63" s="123"/>
      <c r="K63" s="123"/>
    </row>
    <row r="64" spans="2:11" x14ac:dyDescent="0.3">
      <c r="B64" s="389" t="s">
        <v>10</v>
      </c>
      <c r="C64" s="389" t="s">
        <v>255</v>
      </c>
      <c r="D64" s="428"/>
      <c r="E64" s="444"/>
      <c r="F64" s="444"/>
      <c r="G64" s="443"/>
      <c r="H64" s="444"/>
      <c r="J64" s="123"/>
      <c r="K64" s="123"/>
    </row>
    <row r="65" spans="2:11" x14ac:dyDescent="0.3">
      <c r="B65" s="389"/>
      <c r="C65" s="389" t="s">
        <v>256</v>
      </c>
      <c r="D65" s="428"/>
      <c r="E65" s="444"/>
      <c r="F65" s="444"/>
      <c r="G65" s="443"/>
      <c r="H65" s="444"/>
      <c r="J65" s="123"/>
      <c r="K65" s="123"/>
    </row>
    <row r="66" spans="2:11" ht="15" thickBot="1" x14ac:dyDescent="0.35">
      <c r="B66" s="393"/>
      <c r="C66" s="394" t="s">
        <v>257</v>
      </c>
      <c r="D66" s="414"/>
      <c r="E66" s="444"/>
      <c r="F66" s="444"/>
      <c r="G66" s="443"/>
      <c r="H66" s="444"/>
      <c r="J66" s="123"/>
      <c r="K66" s="123"/>
    </row>
    <row r="67" spans="2:11" x14ac:dyDescent="0.3">
      <c r="B67" s="389" t="s">
        <v>336</v>
      </c>
      <c r="C67" s="389" t="s">
        <v>255</v>
      </c>
      <c r="D67" s="428"/>
      <c r="E67" s="444"/>
      <c r="F67" s="444"/>
      <c r="G67" s="443"/>
      <c r="H67" s="444"/>
      <c r="J67" s="123"/>
      <c r="K67" s="123"/>
    </row>
    <row r="68" spans="2:11" x14ac:dyDescent="0.3">
      <c r="B68" s="389"/>
      <c r="C68" s="389" t="s">
        <v>256</v>
      </c>
      <c r="D68" s="428"/>
      <c r="E68" s="444"/>
      <c r="F68" s="444"/>
      <c r="G68" s="443"/>
      <c r="H68" s="444"/>
      <c r="J68" s="123"/>
      <c r="K68" s="123"/>
    </row>
    <row r="69" spans="2:11" ht="15" thickBot="1" x14ac:dyDescent="0.35">
      <c r="B69" s="393"/>
      <c r="C69" s="394" t="s">
        <v>257</v>
      </c>
      <c r="D69" s="414"/>
      <c r="E69" s="444"/>
      <c r="F69" s="444"/>
      <c r="G69" s="443"/>
      <c r="H69" s="444"/>
      <c r="J69" s="123"/>
      <c r="K69" s="123"/>
    </row>
    <row r="70" spans="2:11" x14ac:dyDescent="0.3">
      <c r="B70" s="389" t="s">
        <v>349</v>
      </c>
      <c r="C70" s="389" t="s">
        <v>255</v>
      </c>
      <c r="D70" s="428"/>
      <c r="E70" s="444"/>
      <c r="F70" s="444"/>
      <c r="G70" s="443"/>
      <c r="H70" s="444"/>
      <c r="J70" s="123"/>
      <c r="K70" s="123"/>
    </row>
    <row r="71" spans="2:11" x14ac:dyDescent="0.3">
      <c r="B71" s="389"/>
      <c r="C71" s="389" t="s">
        <v>256</v>
      </c>
      <c r="D71" s="428"/>
      <c r="E71" s="444"/>
      <c r="F71" s="444"/>
      <c r="G71" s="443"/>
      <c r="H71" s="444"/>
      <c r="J71" s="123"/>
      <c r="K71" s="123"/>
    </row>
    <row r="72" spans="2:11" ht="15" thickBot="1" x14ac:dyDescent="0.35">
      <c r="B72" s="393"/>
      <c r="C72" s="394" t="s">
        <v>257</v>
      </c>
      <c r="D72" s="414"/>
      <c r="E72" s="444"/>
      <c r="F72" s="444"/>
      <c r="G72" s="443"/>
      <c r="H72" s="444"/>
      <c r="J72" s="123"/>
      <c r="K72" s="123"/>
    </row>
    <row r="73" spans="2:11" x14ac:dyDescent="0.3">
      <c r="B73" s="389" t="s">
        <v>341</v>
      </c>
      <c r="C73" s="389" t="s">
        <v>255</v>
      </c>
      <c r="D73" s="428"/>
      <c r="E73" s="444"/>
      <c r="F73" s="444"/>
      <c r="G73" s="443"/>
      <c r="H73" s="444"/>
      <c r="J73" s="123"/>
      <c r="K73" s="123"/>
    </row>
    <row r="74" spans="2:11" x14ac:dyDescent="0.3">
      <c r="B74" s="389"/>
      <c r="C74" s="389" t="s">
        <v>256</v>
      </c>
      <c r="D74" s="428"/>
      <c r="E74" s="444"/>
      <c r="F74" s="444"/>
      <c r="G74" s="443"/>
      <c r="H74" s="444"/>
      <c r="J74" s="123"/>
      <c r="K74" s="123"/>
    </row>
    <row r="75" spans="2:11" ht="15" thickBot="1" x14ac:dyDescent="0.35">
      <c r="B75" s="393"/>
      <c r="C75" s="394" t="s">
        <v>257</v>
      </c>
      <c r="D75" s="414"/>
      <c r="E75" s="444"/>
      <c r="F75" s="444"/>
      <c r="G75" s="443"/>
      <c r="H75" s="444"/>
      <c r="J75" s="123"/>
      <c r="K75" s="123"/>
    </row>
    <row r="76" spans="2:11" x14ac:dyDescent="0.3">
      <c r="B76" s="389" t="s">
        <v>337</v>
      </c>
      <c r="C76" s="389" t="s">
        <v>255</v>
      </c>
      <c r="D76" s="428">
        <v>0</v>
      </c>
      <c r="E76" s="444"/>
      <c r="F76" s="444"/>
      <c r="G76" s="443"/>
      <c r="H76" s="444"/>
      <c r="J76" s="123"/>
      <c r="K76" s="123"/>
    </row>
    <row r="77" spans="2:11" x14ac:dyDescent="0.3">
      <c r="B77" s="389"/>
      <c r="C77" s="389" t="s">
        <v>256</v>
      </c>
      <c r="D77" s="428">
        <v>91628.85</v>
      </c>
      <c r="E77" s="444"/>
      <c r="F77" s="444"/>
      <c r="G77" s="443"/>
      <c r="H77" s="444"/>
      <c r="J77" s="123"/>
      <c r="K77" s="123"/>
    </row>
    <row r="78" spans="2:11" ht="15" thickBot="1" x14ac:dyDescent="0.35">
      <c r="B78" s="393"/>
      <c r="C78" s="394" t="s">
        <v>257</v>
      </c>
      <c r="D78" s="865">
        <f>SUM(D76:D77)</f>
        <v>91628.85</v>
      </c>
      <c r="E78" s="444"/>
      <c r="F78" s="444"/>
      <c r="G78" s="443"/>
      <c r="H78" s="444"/>
      <c r="J78" s="123"/>
      <c r="K78" s="123"/>
    </row>
    <row r="79" spans="2:11" x14ac:dyDescent="0.3">
      <c r="B79" s="389" t="s">
        <v>540</v>
      </c>
      <c r="C79" s="389" t="s">
        <v>255</v>
      </c>
      <c r="D79" s="428"/>
      <c r="E79" s="444"/>
      <c r="F79" s="444"/>
      <c r="G79" s="443"/>
      <c r="H79" s="444"/>
      <c r="J79" s="123"/>
      <c r="K79" s="123"/>
    </row>
    <row r="80" spans="2:11" x14ac:dyDescent="0.3">
      <c r="B80" s="389"/>
      <c r="C80" s="389" t="s">
        <v>256</v>
      </c>
      <c r="D80" s="428"/>
      <c r="E80" s="444"/>
      <c r="F80" s="444"/>
      <c r="G80" s="443"/>
      <c r="H80" s="444"/>
      <c r="J80" s="123"/>
      <c r="K80" s="123"/>
    </row>
    <row r="81" spans="2:11" ht="15" thickBot="1" x14ac:dyDescent="0.35">
      <c r="B81" s="393"/>
      <c r="C81" s="394" t="s">
        <v>257</v>
      </c>
      <c r="D81" s="424"/>
      <c r="E81" s="444"/>
      <c r="F81" s="444"/>
      <c r="G81" s="443"/>
      <c r="H81" s="444"/>
      <c r="J81" s="123"/>
      <c r="K81" s="123"/>
    </row>
    <row r="82" spans="2:11" x14ac:dyDescent="0.3">
      <c r="B82" s="389" t="s">
        <v>350</v>
      </c>
      <c r="C82" s="389" t="s">
        <v>255</v>
      </c>
      <c r="D82" s="428">
        <v>101096</v>
      </c>
      <c r="E82" s="444"/>
      <c r="F82" s="444"/>
      <c r="G82" s="443"/>
      <c r="H82" s="444"/>
      <c r="J82" s="123"/>
      <c r="K82" s="123"/>
    </row>
    <row r="83" spans="2:11" x14ac:dyDescent="0.3">
      <c r="B83" s="389"/>
      <c r="C83" s="389" t="s">
        <v>256</v>
      </c>
      <c r="D83" s="428">
        <v>0</v>
      </c>
      <c r="E83" s="444"/>
      <c r="F83" s="444"/>
      <c r="G83" s="443"/>
      <c r="H83" s="444"/>
      <c r="J83" s="123"/>
      <c r="K83" s="123"/>
    </row>
    <row r="84" spans="2:11" ht="15" thickBot="1" x14ac:dyDescent="0.35">
      <c r="B84" s="393"/>
      <c r="C84" s="394" t="s">
        <v>257</v>
      </c>
      <c r="D84" s="866">
        <f>SUM(D82:D83)</f>
        <v>101096</v>
      </c>
      <c r="E84" s="444"/>
      <c r="F84" s="444"/>
      <c r="G84" s="443"/>
      <c r="H84" s="444"/>
      <c r="J84" s="123"/>
      <c r="K84" s="123"/>
    </row>
    <row r="85" spans="2:11" x14ac:dyDescent="0.3">
      <c r="B85" s="389" t="s">
        <v>351</v>
      </c>
      <c r="C85" s="389" t="s">
        <v>255</v>
      </c>
      <c r="D85" s="428">
        <v>0</v>
      </c>
      <c r="E85" s="444"/>
      <c r="F85" s="444"/>
      <c r="G85" s="443"/>
      <c r="H85" s="444"/>
      <c r="J85" s="123"/>
      <c r="K85" s="123"/>
    </row>
    <row r="86" spans="2:11" x14ac:dyDescent="0.3">
      <c r="B86" s="389"/>
      <c r="C86" s="389" t="s">
        <v>256</v>
      </c>
      <c r="D86" s="428">
        <v>0</v>
      </c>
      <c r="E86" s="444"/>
      <c r="F86" s="444"/>
      <c r="G86" s="443"/>
      <c r="H86" s="444"/>
      <c r="J86" s="123"/>
      <c r="K86" s="123"/>
    </row>
    <row r="87" spans="2:11" ht="15" thickBot="1" x14ac:dyDescent="0.35">
      <c r="B87" s="393"/>
      <c r="C87" s="394" t="s">
        <v>257</v>
      </c>
      <c r="D87" s="424"/>
      <c r="E87" s="444"/>
      <c r="F87" s="444"/>
      <c r="G87" s="443"/>
      <c r="H87" s="444"/>
      <c r="J87" s="123"/>
      <c r="K87" s="123"/>
    </row>
    <row r="88" spans="2:11" x14ac:dyDescent="0.3">
      <c r="B88" s="389" t="s">
        <v>352</v>
      </c>
      <c r="C88" s="389" t="s">
        <v>255</v>
      </c>
      <c r="D88" s="428">
        <v>2969.53</v>
      </c>
      <c r="E88" s="444"/>
      <c r="F88" s="444"/>
      <c r="G88" s="443"/>
      <c r="H88" s="444"/>
      <c r="J88" s="123"/>
      <c r="K88" s="123"/>
    </row>
    <row r="89" spans="2:11" x14ac:dyDescent="0.3">
      <c r="B89" s="389"/>
      <c r="C89" s="389" t="s">
        <v>256</v>
      </c>
      <c r="D89" s="428">
        <v>6150.38</v>
      </c>
      <c r="E89" s="444"/>
      <c r="F89" s="444"/>
      <c r="G89" s="443"/>
      <c r="H89" s="444"/>
      <c r="J89" s="123"/>
      <c r="K89" s="123"/>
    </row>
    <row r="90" spans="2:11" ht="15" thickBot="1" x14ac:dyDescent="0.35">
      <c r="B90" s="393"/>
      <c r="C90" s="394" t="s">
        <v>257</v>
      </c>
      <c r="D90" s="865">
        <f>SUM(D88:D89)</f>
        <v>9119.91</v>
      </c>
      <c r="E90" s="444"/>
      <c r="F90" s="444"/>
      <c r="G90" s="443"/>
      <c r="H90" s="444"/>
      <c r="J90" s="123"/>
      <c r="K90" s="123"/>
    </row>
    <row r="91" spans="2:11" x14ac:dyDescent="0.3">
      <c r="B91" s="389" t="s">
        <v>353</v>
      </c>
      <c r="C91" s="389" t="s">
        <v>255</v>
      </c>
      <c r="D91" s="428"/>
      <c r="E91" s="444"/>
      <c r="F91" s="444"/>
      <c r="G91" s="443"/>
      <c r="H91" s="444"/>
      <c r="J91" s="123"/>
      <c r="K91" s="123"/>
    </row>
    <row r="92" spans="2:11" x14ac:dyDescent="0.3">
      <c r="B92" s="389"/>
      <c r="C92" s="389" t="s">
        <v>256</v>
      </c>
      <c r="D92" s="428"/>
      <c r="E92" s="444"/>
      <c r="F92" s="444"/>
      <c r="G92" s="443"/>
      <c r="H92" s="444"/>
      <c r="J92" s="123"/>
      <c r="K92" s="123"/>
    </row>
    <row r="93" spans="2:11" ht="15" thickBot="1" x14ac:dyDescent="0.35">
      <c r="B93" s="393"/>
      <c r="C93" s="394" t="s">
        <v>257</v>
      </c>
      <c r="D93" s="424"/>
      <c r="E93" s="444"/>
      <c r="F93" s="444"/>
      <c r="G93" s="443"/>
      <c r="H93" s="444"/>
      <c r="J93" s="123"/>
      <c r="K93" s="123"/>
    </row>
    <row r="94" spans="2:11" x14ac:dyDescent="0.3">
      <c r="B94" s="445" t="s">
        <v>258</v>
      </c>
      <c r="C94" s="389" t="s">
        <v>255</v>
      </c>
      <c r="D94" s="428">
        <f>SUM(D49,D52,D55,D58,D64,D67,D61,D79,D70,D73,D76,D82,D85,D88,D91)</f>
        <v>699508.18</v>
      </c>
      <c r="E94" s="444"/>
      <c r="F94" s="444"/>
      <c r="G94" s="443"/>
      <c r="H94" s="444"/>
      <c r="J94" s="123"/>
      <c r="K94" s="123"/>
    </row>
    <row r="95" spans="2:11" x14ac:dyDescent="0.3">
      <c r="B95" s="389"/>
      <c r="C95" s="389" t="s">
        <v>256</v>
      </c>
      <c r="D95" s="428">
        <f>SUM(D50,D53,D56,D59,D65,D68,D62,D80,D71,D74,D77,D83,D86,D89,D92)</f>
        <v>313931.76</v>
      </c>
      <c r="E95" s="444"/>
      <c r="F95" s="444"/>
      <c r="G95" s="443"/>
      <c r="H95" s="444"/>
      <c r="J95" s="123"/>
      <c r="K95" s="123"/>
    </row>
    <row r="96" spans="2:11" ht="15" thickBot="1" x14ac:dyDescent="0.35">
      <c r="B96" s="393"/>
      <c r="C96" s="394" t="s">
        <v>257</v>
      </c>
      <c r="D96" s="424">
        <f>SUM(D51,D54,D57,D60,D66,D69,D63,D81,D72,D75,D78,D84,D87,D90,D93)</f>
        <v>1013439.9400000001</v>
      </c>
      <c r="E96" s="444"/>
      <c r="F96" s="444"/>
      <c r="G96" s="443"/>
      <c r="H96" s="444"/>
      <c r="J96" s="123"/>
      <c r="K96" s="123"/>
    </row>
    <row r="97" spans="2:11" ht="15" thickBot="1" x14ac:dyDescent="0.35">
      <c r="B97" s="123"/>
      <c r="C97" s="123"/>
      <c r="D97" s="123"/>
      <c r="E97" s="444"/>
      <c r="F97" s="444"/>
      <c r="G97" s="443"/>
      <c r="H97" s="444"/>
      <c r="J97" s="123"/>
      <c r="K97" s="123"/>
    </row>
    <row r="98" spans="2:11" ht="15" thickBot="1" x14ac:dyDescent="0.35">
      <c r="B98" s="123"/>
      <c r="C98" s="123"/>
      <c r="D98" s="479" t="s">
        <v>259</v>
      </c>
      <c r="E98" s="444"/>
      <c r="F98" s="444"/>
      <c r="G98" s="443"/>
      <c r="H98" s="444"/>
      <c r="J98" s="123"/>
      <c r="K98" s="123"/>
    </row>
    <row r="99" spans="2:11" ht="15" thickBot="1" x14ac:dyDescent="0.35">
      <c r="B99" s="123"/>
      <c r="C99" s="123"/>
      <c r="D99" s="477">
        <v>2023</v>
      </c>
      <c r="E99" s="444"/>
      <c r="F99" s="444"/>
      <c r="G99" s="443"/>
      <c r="H99" s="444"/>
      <c r="J99" s="123"/>
      <c r="K99" s="123"/>
    </row>
    <row r="100" spans="2:11" ht="15" thickBot="1" x14ac:dyDescent="0.35">
      <c r="B100" s="121" t="s">
        <v>223</v>
      </c>
      <c r="C100" s="399" t="s">
        <v>254</v>
      </c>
      <c r="D100" s="478" t="s">
        <v>232</v>
      </c>
      <c r="E100" s="444"/>
      <c r="F100" s="444"/>
      <c r="G100" s="443"/>
      <c r="H100" s="444"/>
      <c r="J100" s="123"/>
      <c r="K100" s="123"/>
    </row>
    <row r="101" spans="2:11" x14ac:dyDescent="0.3">
      <c r="B101" s="389" t="s">
        <v>343</v>
      </c>
      <c r="C101" s="401" t="s">
        <v>260</v>
      </c>
      <c r="D101" s="428">
        <v>0</v>
      </c>
      <c r="E101" s="444"/>
      <c r="F101" s="444"/>
      <c r="G101" s="443"/>
      <c r="H101" s="444"/>
      <c r="J101" s="123"/>
      <c r="K101" s="123"/>
    </row>
    <row r="102" spans="2:11" x14ac:dyDescent="0.3">
      <c r="B102" s="389"/>
      <c r="C102" s="401" t="s">
        <v>261</v>
      </c>
      <c r="D102" s="428">
        <v>0</v>
      </c>
      <c r="E102" s="444"/>
      <c r="F102" s="444"/>
      <c r="G102" s="443"/>
      <c r="H102" s="444"/>
      <c r="J102" s="123"/>
      <c r="K102" s="123"/>
    </row>
    <row r="103" spans="2:11" ht="15" thickBot="1" x14ac:dyDescent="0.35">
      <c r="B103" s="393"/>
      <c r="C103" s="402" t="s">
        <v>257</v>
      </c>
      <c r="D103" s="414">
        <f>SUM(D101:D102)</f>
        <v>0</v>
      </c>
      <c r="E103" s="444"/>
      <c r="F103" s="444"/>
      <c r="G103" s="443"/>
      <c r="H103" s="444"/>
      <c r="J103" s="123"/>
      <c r="K103" s="123"/>
    </row>
    <row r="104" spans="2:11" x14ac:dyDescent="0.3">
      <c r="B104" s="389" t="s">
        <v>7</v>
      </c>
      <c r="C104" s="401" t="s">
        <v>260</v>
      </c>
      <c r="D104" s="428"/>
      <c r="E104" s="444"/>
      <c r="F104" s="444"/>
      <c r="G104" s="443"/>
      <c r="H104" s="444"/>
      <c r="J104" s="123"/>
      <c r="K104" s="123"/>
    </row>
    <row r="105" spans="2:11" x14ac:dyDescent="0.3">
      <c r="B105" s="389"/>
      <c r="C105" s="401" t="s">
        <v>261</v>
      </c>
      <c r="D105" s="428"/>
      <c r="E105" s="444"/>
      <c r="F105" s="444"/>
      <c r="G105" s="443"/>
      <c r="H105" s="444"/>
      <c r="J105" s="123"/>
      <c r="K105" s="123"/>
    </row>
    <row r="106" spans="2:11" ht="15" thickBot="1" x14ac:dyDescent="0.35">
      <c r="B106" s="393"/>
      <c r="C106" s="402" t="s">
        <v>257</v>
      </c>
      <c r="D106" s="414">
        <f>SUM(D104:D105)</f>
        <v>0</v>
      </c>
      <c r="E106" s="444"/>
      <c r="F106" s="444"/>
      <c r="G106" s="443"/>
      <c r="H106" s="444"/>
      <c r="J106" s="123"/>
      <c r="K106" s="123"/>
    </row>
    <row r="107" spans="2:11" x14ac:dyDescent="0.3">
      <c r="B107" s="389" t="s">
        <v>8</v>
      </c>
      <c r="C107" s="401" t="s">
        <v>260</v>
      </c>
      <c r="D107" s="428">
        <v>0</v>
      </c>
      <c r="E107" s="444"/>
      <c r="F107" s="444"/>
      <c r="G107" s="443"/>
      <c r="H107" s="444"/>
      <c r="J107" s="123"/>
      <c r="K107" s="123"/>
    </row>
    <row r="108" spans="2:11" x14ac:dyDescent="0.3">
      <c r="B108" s="389"/>
      <c r="C108" s="401" t="s">
        <v>261</v>
      </c>
      <c r="D108" s="428">
        <v>18080</v>
      </c>
      <c r="E108" s="444"/>
      <c r="F108" s="444"/>
      <c r="G108" s="443"/>
      <c r="H108" s="444"/>
      <c r="J108" s="123"/>
      <c r="K108" s="123"/>
    </row>
    <row r="109" spans="2:11" ht="15" thickBot="1" x14ac:dyDescent="0.35">
      <c r="B109" s="393"/>
      <c r="C109" s="402" t="s">
        <v>257</v>
      </c>
      <c r="D109" s="414">
        <f>SUM(D107:D108)</f>
        <v>18080</v>
      </c>
      <c r="E109" s="444"/>
      <c r="F109" s="444"/>
      <c r="G109" s="443"/>
      <c r="H109" s="444"/>
      <c r="J109" s="123"/>
      <c r="K109" s="123"/>
    </row>
    <row r="110" spans="2:11" x14ac:dyDescent="0.3">
      <c r="B110" s="389" t="s">
        <v>9</v>
      </c>
      <c r="C110" s="401" t="s">
        <v>260</v>
      </c>
      <c r="D110" s="428"/>
      <c r="E110" s="444"/>
      <c r="F110" s="444"/>
      <c r="G110" s="443"/>
      <c r="H110" s="444"/>
      <c r="J110" s="123"/>
      <c r="K110" s="123"/>
    </row>
    <row r="111" spans="2:11" x14ac:dyDescent="0.3">
      <c r="B111" s="389"/>
      <c r="C111" s="401" t="s">
        <v>261</v>
      </c>
      <c r="D111" s="428">
        <f>68076+30257.28+7799.33</f>
        <v>106132.61</v>
      </c>
      <c r="E111" s="444"/>
      <c r="F111" s="444"/>
      <c r="G111" s="443"/>
      <c r="H111" s="444"/>
      <c r="J111" s="123"/>
      <c r="K111" s="123"/>
    </row>
    <row r="112" spans="2:11" ht="15" thickBot="1" x14ac:dyDescent="0.35">
      <c r="B112" s="393"/>
      <c r="C112" s="402" t="s">
        <v>257</v>
      </c>
      <c r="D112" s="414">
        <f>SUM(D110:D111)</f>
        <v>106132.61</v>
      </c>
      <c r="E112" s="444"/>
      <c r="F112" s="444"/>
      <c r="G112" s="443"/>
      <c r="H112" s="444"/>
      <c r="J112" s="123"/>
      <c r="K112" s="123"/>
    </row>
    <row r="113" spans="2:11" x14ac:dyDescent="0.3">
      <c r="B113" s="389" t="s">
        <v>335</v>
      </c>
      <c r="C113" s="401" t="s">
        <v>260</v>
      </c>
      <c r="D113" s="428"/>
      <c r="E113" s="444"/>
      <c r="F113" s="444"/>
      <c r="G113" s="443"/>
      <c r="H113" s="444"/>
      <c r="J113" s="123"/>
      <c r="K113" s="123"/>
    </row>
    <row r="114" spans="2:11" x14ac:dyDescent="0.3">
      <c r="B114" s="389"/>
      <c r="C114" s="401" t="s">
        <v>261</v>
      </c>
      <c r="D114" s="428"/>
      <c r="E114" s="444"/>
      <c r="F114" s="444"/>
      <c r="G114" s="443"/>
      <c r="H114" s="444"/>
      <c r="J114" s="123"/>
      <c r="K114" s="123"/>
    </row>
    <row r="115" spans="2:11" ht="15" thickBot="1" x14ac:dyDescent="0.35">
      <c r="B115" s="393"/>
      <c r="C115" s="402" t="s">
        <v>257</v>
      </c>
      <c r="D115" s="414">
        <f>SUM(D113:D114)</f>
        <v>0</v>
      </c>
      <c r="E115" s="444"/>
      <c r="F115" s="444"/>
      <c r="G115" s="443"/>
      <c r="H115" s="444"/>
      <c r="J115" s="123"/>
      <c r="K115" s="123"/>
    </row>
    <row r="116" spans="2:11" x14ac:dyDescent="0.3">
      <c r="B116" s="389" t="s">
        <v>10</v>
      </c>
      <c r="C116" s="401" t="s">
        <v>260</v>
      </c>
      <c r="D116" s="428"/>
      <c r="E116" s="444"/>
      <c r="F116" s="444"/>
      <c r="G116" s="443"/>
      <c r="H116" s="444"/>
      <c r="J116" s="123"/>
      <c r="K116" s="123"/>
    </row>
    <row r="117" spans="2:11" x14ac:dyDescent="0.3">
      <c r="B117" s="389"/>
      <c r="C117" s="401" t="s">
        <v>261</v>
      </c>
      <c r="D117" s="428">
        <v>25874</v>
      </c>
      <c r="E117" s="444"/>
      <c r="F117" s="444"/>
      <c r="G117" s="443"/>
      <c r="H117" s="444"/>
      <c r="J117" s="123"/>
      <c r="K117" s="123"/>
    </row>
    <row r="118" spans="2:11" ht="15" thickBot="1" x14ac:dyDescent="0.35">
      <c r="B118" s="393"/>
      <c r="C118" s="402" t="s">
        <v>257</v>
      </c>
      <c r="D118" s="414">
        <f>SUM(D116:D117)</f>
        <v>25874</v>
      </c>
      <c r="E118" s="444"/>
      <c r="F118" s="444"/>
      <c r="G118" s="443"/>
      <c r="H118" s="444"/>
      <c r="J118" s="123"/>
      <c r="K118" s="123"/>
    </row>
    <row r="119" spans="2:11" x14ac:dyDescent="0.3">
      <c r="B119" s="389" t="s">
        <v>336</v>
      </c>
      <c r="C119" s="401" t="s">
        <v>260</v>
      </c>
      <c r="D119" s="428"/>
      <c r="E119" s="444"/>
      <c r="F119" s="444"/>
      <c r="G119" s="443"/>
      <c r="H119" s="444"/>
      <c r="J119" s="123"/>
      <c r="K119" s="123"/>
    </row>
    <row r="120" spans="2:11" x14ac:dyDescent="0.3">
      <c r="B120" s="389"/>
      <c r="C120" s="401" t="s">
        <v>261</v>
      </c>
      <c r="D120" s="428"/>
      <c r="E120" s="444"/>
      <c r="F120" s="444"/>
      <c r="G120" s="443"/>
      <c r="H120" s="444"/>
      <c r="J120" s="123"/>
      <c r="K120" s="123"/>
    </row>
    <row r="121" spans="2:11" ht="15" thickBot="1" x14ac:dyDescent="0.35">
      <c r="B121" s="393"/>
      <c r="C121" s="402" t="s">
        <v>257</v>
      </c>
      <c r="D121" s="414">
        <f>SUM(D119:D120)</f>
        <v>0</v>
      </c>
      <c r="E121" s="444"/>
      <c r="F121" s="444"/>
      <c r="G121" s="443"/>
      <c r="H121" s="444"/>
      <c r="J121" s="123"/>
      <c r="K121" s="123"/>
    </row>
    <row r="122" spans="2:11" x14ac:dyDescent="0.3">
      <c r="B122" s="389" t="s">
        <v>349</v>
      </c>
      <c r="C122" s="401" t="s">
        <v>260</v>
      </c>
      <c r="D122" s="428"/>
      <c r="E122" s="444"/>
      <c r="F122" s="444"/>
      <c r="G122" s="443"/>
      <c r="H122" s="444"/>
      <c r="J122" s="123"/>
      <c r="K122" s="123"/>
    </row>
    <row r="123" spans="2:11" x14ac:dyDescent="0.3">
      <c r="B123" s="389"/>
      <c r="C123" s="401" t="s">
        <v>261</v>
      </c>
      <c r="D123" s="428"/>
      <c r="E123" s="444"/>
      <c r="F123" s="444"/>
      <c r="G123" s="443"/>
      <c r="H123" s="444"/>
      <c r="J123" s="123"/>
      <c r="K123" s="123"/>
    </row>
    <row r="124" spans="2:11" ht="15" thickBot="1" x14ac:dyDescent="0.35">
      <c r="B124" s="393"/>
      <c r="C124" s="402" t="s">
        <v>257</v>
      </c>
      <c r="D124" s="414">
        <f>SUM(D122:D123)</f>
        <v>0</v>
      </c>
      <c r="E124" s="444"/>
      <c r="F124" s="444"/>
      <c r="G124" s="443"/>
      <c r="H124" s="444"/>
      <c r="J124" s="123"/>
      <c r="K124" s="123"/>
    </row>
    <row r="125" spans="2:11" x14ac:dyDescent="0.3">
      <c r="B125" s="389" t="s">
        <v>341</v>
      </c>
      <c r="C125" s="401" t="s">
        <v>260</v>
      </c>
      <c r="D125" s="428"/>
      <c r="E125" s="444"/>
      <c r="F125" s="444"/>
      <c r="G125" s="443"/>
      <c r="H125" s="444"/>
      <c r="J125" s="123"/>
      <c r="K125" s="123"/>
    </row>
    <row r="126" spans="2:11" x14ac:dyDescent="0.3">
      <c r="B126" s="389"/>
      <c r="C126" s="401" t="s">
        <v>261</v>
      </c>
      <c r="D126" s="428"/>
      <c r="E126" s="444"/>
      <c r="F126" s="444"/>
      <c r="G126" s="443"/>
      <c r="H126" s="444"/>
      <c r="J126" s="123"/>
      <c r="K126" s="123"/>
    </row>
    <row r="127" spans="2:11" ht="15" thickBot="1" x14ac:dyDescent="0.35">
      <c r="B127" s="393"/>
      <c r="C127" s="402" t="s">
        <v>257</v>
      </c>
      <c r="D127" s="414">
        <f>SUM(D125:D126)</f>
        <v>0</v>
      </c>
      <c r="E127" s="444"/>
      <c r="F127" s="444"/>
      <c r="G127" s="443"/>
      <c r="H127" s="444"/>
      <c r="J127" s="123"/>
      <c r="K127" s="123"/>
    </row>
    <row r="128" spans="2:11" x14ac:dyDescent="0.3">
      <c r="B128" s="389" t="s">
        <v>337</v>
      </c>
      <c r="C128" s="401" t="s">
        <v>260</v>
      </c>
      <c r="D128" s="428">
        <v>0</v>
      </c>
      <c r="E128" s="444"/>
      <c r="F128" s="444"/>
      <c r="G128" s="443"/>
      <c r="H128" s="444"/>
      <c r="J128" s="123"/>
      <c r="K128" s="123"/>
    </row>
    <row r="129" spans="2:11" x14ac:dyDescent="0.3">
      <c r="B129" s="389"/>
      <c r="C129" s="401" t="s">
        <v>261</v>
      </c>
      <c r="D129" s="428">
        <v>0</v>
      </c>
      <c r="E129" s="444"/>
      <c r="F129" s="444"/>
      <c r="G129" s="443"/>
      <c r="H129" s="444"/>
      <c r="J129" s="123"/>
      <c r="K129" s="123"/>
    </row>
    <row r="130" spans="2:11" ht="15" thickBot="1" x14ac:dyDescent="0.35">
      <c r="B130" s="393"/>
      <c r="C130" s="402" t="s">
        <v>257</v>
      </c>
      <c r="D130" s="414">
        <f>SUM(D128:D129)</f>
        <v>0</v>
      </c>
      <c r="E130" s="444"/>
      <c r="F130" s="444"/>
      <c r="G130" s="443"/>
      <c r="H130" s="444"/>
      <c r="J130" s="123"/>
      <c r="K130" s="123"/>
    </row>
    <row r="131" spans="2:11" x14ac:dyDescent="0.3">
      <c r="B131" s="389" t="s">
        <v>11</v>
      </c>
      <c r="C131" s="401" t="s">
        <v>260</v>
      </c>
      <c r="D131" s="428"/>
      <c r="E131" s="444"/>
      <c r="F131" s="444"/>
      <c r="G131" s="443"/>
      <c r="H131" s="444"/>
      <c r="J131" s="123"/>
      <c r="K131" s="123"/>
    </row>
    <row r="132" spans="2:11" x14ac:dyDescent="0.3">
      <c r="B132" s="389"/>
      <c r="C132" s="401" t="s">
        <v>261</v>
      </c>
      <c r="D132" s="428"/>
      <c r="E132" s="444"/>
      <c r="F132" s="444"/>
      <c r="G132" s="443"/>
      <c r="H132" s="444"/>
      <c r="J132" s="123"/>
      <c r="K132" s="123"/>
    </row>
    <row r="133" spans="2:11" ht="15" thickBot="1" x14ac:dyDescent="0.35">
      <c r="B133" s="393"/>
      <c r="C133" s="402" t="s">
        <v>257</v>
      </c>
      <c r="D133" s="414">
        <f>SUM(D131:D132)</f>
        <v>0</v>
      </c>
      <c r="E133" s="444"/>
      <c r="F133" s="444"/>
      <c r="G133" s="443"/>
      <c r="H133" s="444"/>
      <c r="J133" s="123"/>
      <c r="K133" s="123"/>
    </row>
    <row r="134" spans="2:11" x14ac:dyDescent="0.3">
      <c r="B134" s="389" t="s">
        <v>350</v>
      </c>
      <c r="C134" s="401" t="s">
        <v>260</v>
      </c>
      <c r="D134" s="428"/>
      <c r="E134" s="444"/>
      <c r="F134" s="444"/>
      <c r="G134" s="443"/>
      <c r="H134" s="444"/>
      <c r="J134" s="123"/>
      <c r="K134" s="123"/>
    </row>
    <row r="135" spans="2:11" x14ac:dyDescent="0.3">
      <c r="B135" s="389"/>
      <c r="C135" s="401" t="s">
        <v>261</v>
      </c>
      <c r="D135" s="428"/>
      <c r="E135" s="444"/>
      <c r="F135" s="444"/>
      <c r="G135" s="443"/>
      <c r="H135" s="444"/>
      <c r="J135" s="123"/>
      <c r="K135" s="123"/>
    </row>
    <row r="136" spans="2:11" ht="15" thickBot="1" x14ac:dyDescent="0.35">
      <c r="B136" s="393"/>
      <c r="C136" s="402" t="s">
        <v>257</v>
      </c>
      <c r="D136" s="414">
        <f>SUM(D134:D135)</f>
        <v>0</v>
      </c>
      <c r="E136" s="444"/>
      <c r="F136" s="444"/>
      <c r="G136" s="443"/>
      <c r="H136" s="444"/>
      <c r="J136" s="123"/>
      <c r="K136" s="123"/>
    </row>
    <row r="137" spans="2:11" x14ac:dyDescent="0.3">
      <c r="B137" s="389" t="s">
        <v>351</v>
      </c>
      <c r="C137" s="401" t="s">
        <v>260</v>
      </c>
      <c r="D137" s="428"/>
      <c r="E137" s="444"/>
      <c r="F137" s="444"/>
      <c r="G137" s="443"/>
      <c r="H137" s="444"/>
      <c r="J137" s="123"/>
      <c r="K137" s="123"/>
    </row>
    <row r="138" spans="2:11" x14ac:dyDescent="0.3">
      <c r="B138" s="389"/>
      <c r="C138" s="401" t="s">
        <v>261</v>
      </c>
      <c r="D138" s="428"/>
      <c r="E138" s="444"/>
      <c r="F138" s="444"/>
      <c r="G138" s="443"/>
      <c r="H138" s="444"/>
      <c r="J138" s="123"/>
      <c r="K138" s="123"/>
    </row>
    <row r="139" spans="2:11" ht="15" thickBot="1" x14ac:dyDescent="0.35">
      <c r="B139" s="393"/>
      <c r="C139" s="402" t="s">
        <v>257</v>
      </c>
      <c r="D139" s="414">
        <f>SUM(D137:D138)</f>
        <v>0</v>
      </c>
      <c r="E139" s="444"/>
      <c r="F139" s="444"/>
      <c r="G139" s="443"/>
      <c r="H139" s="444"/>
      <c r="J139" s="123"/>
      <c r="K139" s="123"/>
    </row>
    <row r="140" spans="2:11" x14ac:dyDescent="0.3">
      <c r="B140" s="389" t="s">
        <v>352</v>
      </c>
      <c r="C140" s="401" t="s">
        <v>260</v>
      </c>
      <c r="D140" s="428"/>
      <c r="E140" s="444"/>
      <c r="F140" s="444"/>
      <c r="G140" s="443"/>
      <c r="H140" s="444"/>
      <c r="J140" s="123"/>
      <c r="K140" s="123"/>
    </row>
    <row r="141" spans="2:11" x14ac:dyDescent="0.3">
      <c r="B141" s="389"/>
      <c r="C141" s="401" t="s">
        <v>261</v>
      </c>
      <c r="D141" s="428">
        <v>16151</v>
      </c>
      <c r="E141" s="444"/>
      <c r="F141" s="444"/>
      <c r="G141" s="443"/>
      <c r="H141" s="444"/>
      <c r="J141" s="123"/>
      <c r="K141" s="123"/>
    </row>
    <row r="142" spans="2:11" ht="15" thickBot="1" x14ac:dyDescent="0.35">
      <c r="B142" s="393"/>
      <c r="C142" s="402" t="s">
        <v>257</v>
      </c>
      <c r="D142" s="414">
        <f>SUM(D140:D141)</f>
        <v>16151</v>
      </c>
      <c r="E142" s="444"/>
      <c r="F142" s="444"/>
      <c r="G142" s="443"/>
      <c r="H142" s="444"/>
      <c r="J142" s="123"/>
      <c r="K142" s="123"/>
    </row>
    <row r="143" spans="2:11" x14ac:dyDescent="0.3">
      <c r="B143" s="389" t="s">
        <v>353</v>
      </c>
      <c r="C143" s="401" t="s">
        <v>260</v>
      </c>
      <c r="D143" s="428"/>
      <c r="E143" s="444"/>
      <c r="F143" s="444"/>
      <c r="G143" s="443"/>
      <c r="H143" s="444"/>
      <c r="J143" s="123"/>
      <c r="K143" s="123"/>
    </row>
    <row r="144" spans="2:11" x14ac:dyDescent="0.3">
      <c r="B144" s="389"/>
      <c r="C144" s="401" t="s">
        <v>261</v>
      </c>
      <c r="D144" s="428"/>
      <c r="E144" s="444"/>
      <c r="F144" s="444"/>
      <c r="G144" s="443"/>
      <c r="H144" s="444"/>
      <c r="J144" s="123"/>
      <c r="K144" s="123"/>
    </row>
    <row r="145" spans="2:11" ht="15" thickBot="1" x14ac:dyDescent="0.35">
      <c r="B145" s="393"/>
      <c r="C145" s="402" t="s">
        <v>257</v>
      </c>
      <c r="D145" s="414">
        <f>SUM(D143:D144)</f>
        <v>0</v>
      </c>
      <c r="E145" s="444"/>
      <c r="F145" s="444"/>
      <c r="G145" s="443"/>
      <c r="H145" s="444"/>
      <c r="J145" s="123"/>
      <c r="K145" s="123"/>
    </row>
    <row r="146" spans="2:11" x14ac:dyDescent="0.3">
      <c r="B146" s="446" t="s">
        <v>258</v>
      </c>
      <c r="C146" s="389" t="s">
        <v>255</v>
      </c>
      <c r="D146" s="428">
        <f>D101+D104+D107+D110+D113+D116+D119+D122+D125+D128+D131+D134+D137+D140+D143</f>
        <v>0</v>
      </c>
      <c r="E146" s="444"/>
      <c r="F146" s="444"/>
      <c r="G146" s="443"/>
      <c r="H146" s="444"/>
      <c r="J146" s="123"/>
      <c r="K146" s="123"/>
    </row>
    <row r="147" spans="2:11" x14ac:dyDescent="0.3">
      <c r="B147" s="389"/>
      <c r="C147" s="389" t="s">
        <v>256</v>
      </c>
      <c r="D147" s="428">
        <f>D102+D105+D108+D111+D114+D117+D120+D123+D126+D129+D132+D135+D138+D141+D144</f>
        <v>166237.60999999999</v>
      </c>
      <c r="E147" s="444"/>
      <c r="F147" s="444"/>
      <c r="G147" s="443"/>
      <c r="H147" s="444"/>
      <c r="J147" s="123"/>
      <c r="K147" s="123"/>
    </row>
    <row r="148" spans="2:11" ht="15" thickBot="1" x14ac:dyDescent="0.35">
      <c r="B148" s="393"/>
      <c r="C148" s="394" t="s">
        <v>257</v>
      </c>
      <c r="D148" s="424">
        <f>SUM(D146:D147)</f>
        <v>166237.60999999999</v>
      </c>
      <c r="E148" s="444"/>
      <c r="F148" s="444"/>
      <c r="G148" s="443"/>
      <c r="H148" s="444"/>
      <c r="J148" s="123"/>
      <c r="K148" s="123"/>
    </row>
    <row r="149" spans="2:11" x14ac:dyDescent="0.3">
      <c r="B149" s="123"/>
      <c r="C149" s="123"/>
      <c r="D149" s="123"/>
      <c r="E149" s="444"/>
      <c r="F149" s="444"/>
      <c r="G149" s="443"/>
      <c r="H149" s="444"/>
      <c r="J149" s="123"/>
      <c r="K149" s="123"/>
    </row>
    <row r="150" spans="2:11" ht="15" thickBot="1" x14ac:dyDescent="0.35">
      <c r="B150" s="123"/>
      <c r="C150" s="123"/>
      <c r="D150" s="123"/>
      <c r="E150" s="444"/>
      <c r="F150" s="444"/>
      <c r="G150" s="443"/>
      <c r="H150" s="444"/>
      <c r="J150" s="123"/>
      <c r="K150" s="123"/>
    </row>
    <row r="151" spans="2:11" ht="15" thickBot="1" x14ac:dyDescent="0.35">
      <c r="B151" s="123"/>
      <c r="C151" s="123"/>
      <c r="D151" s="479" t="s">
        <v>262</v>
      </c>
      <c r="E151" s="444"/>
      <c r="F151" s="444"/>
      <c r="G151" s="443"/>
      <c r="H151" s="444"/>
      <c r="J151" s="123"/>
      <c r="K151" s="123"/>
    </row>
    <row r="152" spans="2:11" ht="15" thickBot="1" x14ac:dyDescent="0.35">
      <c r="B152" s="123"/>
      <c r="C152" s="123"/>
      <c r="D152" s="477">
        <v>2023</v>
      </c>
      <c r="E152" s="444"/>
      <c r="F152" s="444"/>
      <c r="G152" s="443"/>
      <c r="H152" s="444"/>
      <c r="J152" s="123"/>
      <c r="K152" s="123"/>
    </row>
    <row r="153" spans="2:11" ht="15" thickBot="1" x14ac:dyDescent="0.35">
      <c r="B153" s="123"/>
      <c r="C153" s="447" t="s">
        <v>223</v>
      </c>
      <c r="D153" s="478" t="s">
        <v>232</v>
      </c>
      <c r="E153" s="444"/>
      <c r="F153" s="444"/>
      <c r="G153" s="443"/>
      <c r="H153" s="444"/>
      <c r="J153" s="123"/>
      <c r="K153" s="123"/>
    </row>
    <row r="154" spans="2:11" x14ac:dyDescent="0.3">
      <c r="B154" s="123"/>
      <c r="C154" s="389" t="s">
        <v>343</v>
      </c>
      <c r="D154" s="427">
        <f>SUM(D51,D103)</f>
        <v>208869.88</v>
      </c>
      <c r="E154" s="444"/>
      <c r="F154" s="444"/>
      <c r="G154" s="443"/>
      <c r="H154" s="444"/>
      <c r="J154" s="123"/>
      <c r="K154" s="123"/>
    </row>
    <row r="155" spans="2:11" x14ac:dyDescent="0.3">
      <c r="B155" s="123"/>
      <c r="C155" s="389" t="s">
        <v>7</v>
      </c>
      <c r="D155" s="428">
        <f>SUM(D54,D106)</f>
        <v>0</v>
      </c>
      <c r="E155" s="444"/>
      <c r="F155" s="444"/>
      <c r="G155" s="443"/>
      <c r="H155" s="444"/>
      <c r="J155" s="123"/>
      <c r="K155" s="123"/>
    </row>
    <row r="156" spans="2:11" x14ac:dyDescent="0.3">
      <c r="B156" s="123"/>
      <c r="C156" s="389" t="s">
        <v>8</v>
      </c>
      <c r="D156" s="428">
        <f>SUM(D57,D109)</f>
        <v>517370.17</v>
      </c>
      <c r="E156" s="444"/>
      <c r="F156" s="444"/>
      <c r="G156" s="443"/>
      <c r="H156" s="444"/>
      <c r="J156" s="123"/>
      <c r="K156" s="123"/>
    </row>
    <row r="157" spans="2:11" ht="28.8" x14ac:dyDescent="0.3">
      <c r="B157" s="123"/>
      <c r="C157" s="448" t="s">
        <v>9</v>
      </c>
      <c r="D157" s="428">
        <f>SUM(D60,D112)</f>
        <v>209567.74</v>
      </c>
      <c r="E157" s="444"/>
      <c r="F157" s="444"/>
      <c r="G157" s="443"/>
      <c r="H157" s="444"/>
      <c r="J157" s="123"/>
      <c r="K157" s="123"/>
    </row>
    <row r="158" spans="2:11" x14ac:dyDescent="0.3">
      <c r="B158" s="123"/>
      <c r="C158" s="389" t="s">
        <v>335</v>
      </c>
      <c r="D158" s="428">
        <f>SUM(D63,D115)</f>
        <v>0</v>
      </c>
      <c r="E158" s="444"/>
      <c r="F158" s="444"/>
      <c r="G158" s="443"/>
      <c r="H158" s="444"/>
      <c r="J158" s="123"/>
      <c r="K158" s="123"/>
    </row>
    <row r="159" spans="2:11" x14ac:dyDescent="0.3">
      <c r="B159" s="123"/>
      <c r="C159" s="389" t="s">
        <v>10</v>
      </c>
      <c r="D159" s="428">
        <f>SUM(D66,D118)</f>
        <v>25874</v>
      </c>
      <c r="E159" s="444"/>
      <c r="F159" s="444"/>
      <c r="G159" s="443"/>
      <c r="H159" s="444"/>
      <c r="J159" s="123"/>
      <c r="K159" s="123"/>
    </row>
    <row r="160" spans="2:11" x14ac:dyDescent="0.3">
      <c r="B160" s="123"/>
      <c r="C160" s="389" t="s">
        <v>336</v>
      </c>
      <c r="D160" s="428">
        <f>SUM(D69,D121)</f>
        <v>0</v>
      </c>
      <c r="E160" s="444"/>
      <c r="F160" s="444"/>
      <c r="G160" s="443"/>
      <c r="H160" s="444"/>
      <c r="J160" s="123"/>
      <c r="K160" s="123"/>
    </row>
    <row r="161" spans="2:11" x14ac:dyDescent="0.3">
      <c r="B161" s="123"/>
      <c r="C161" s="389" t="s">
        <v>349</v>
      </c>
      <c r="D161" s="428">
        <f>SUM(D72,D124)</f>
        <v>0</v>
      </c>
      <c r="E161" s="444"/>
      <c r="F161" s="444"/>
      <c r="G161" s="443"/>
      <c r="H161" s="444"/>
      <c r="J161" s="123"/>
      <c r="K161" s="123"/>
    </row>
    <row r="162" spans="2:11" x14ac:dyDescent="0.3">
      <c r="B162" s="123"/>
      <c r="C162" s="389" t="s">
        <v>341</v>
      </c>
      <c r="D162" s="428">
        <f>SUM(D75,D127)</f>
        <v>0</v>
      </c>
      <c r="E162" s="444"/>
      <c r="F162" s="444"/>
      <c r="G162" s="443"/>
      <c r="H162" s="444"/>
      <c r="J162" s="123"/>
      <c r="K162" s="123"/>
    </row>
    <row r="163" spans="2:11" x14ac:dyDescent="0.3">
      <c r="B163" s="123"/>
      <c r="C163" s="389" t="s">
        <v>337</v>
      </c>
      <c r="D163" s="428">
        <f>SUM(D78,D130)</f>
        <v>91628.85</v>
      </c>
      <c r="E163" s="444"/>
      <c r="F163" s="444"/>
      <c r="G163" s="443"/>
      <c r="H163" s="444"/>
      <c r="J163" s="123"/>
      <c r="K163" s="123"/>
    </row>
    <row r="164" spans="2:11" x14ac:dyDescent="0.3">
      <c r="B164" s="123"/>
      <c r="C164" s="389" t="s">
        <v>11</v>
      </c>
      <c r="D164" s="428">
        <f>SUM(D81,D133)</f>
        <v>0</v>
      </c>
      <c r="E164" s="444"/>
      <c r="F164" s="444"/>
      <c r="G164" s="443"/>
      <c r="H164" s="444"/>
      <c r="J164" s="123"/>
      <c r="K164" s="123"/>
    </row>
    <row r="165" spans="2:11" x14ac:dyDescent="0.3">
      <c r="B165" s="123"/>
      <c r="C165" s="389" t="s">
        <v>350</v>
      </c>
      <c r="D165" s="428">
        <f>SUM(D84,D136)</f>
        <v>101096</v>
      </c>
      <c r="E165" s="444"/>
      <c r="F165" s="444"/>
      <c r="G165" s="443"/>
      <c r="H165" s="444"/>
      <c r="J165" s="123"/>
      <c r="K165" s="123"/>
    </row>
    <row r="166" spans="2:11" x14ac:dyDescent="0.3">
      <c r="B166" s="123"/>
      <c r="C166" s="389" t="s">
        <v>351</v>
      </c>
      <c r="D166" s="428">
        <f>SUM(D87,D139)</f>
        <v>0</v>
      </c>
      <c r="E166" s="444"/>
      <c r="F166" s="444"/>
      <c r="G166" s="443"/>
      <c r="H166" s="444"/>
      <c r="J166" s="123"/>
      <c r="K166" s="123"/>
    </row>
    <row r="167" spans="2:11" x14ac:dyDescent="0.3">
      <c r="B167" s="123"/>
      <c r="C167" s="389" t="s">
        <v>352</v>
      </c>
      <c r="D167" s="428">
        <f>SUM(D90,D142)</f>
        <v>25270.91</v>
      </c>
      <c r="E167" s="444"/>
      <c r="F167" s="444"/>
      <c r="G167" s="443"/>
      <c r="H167" s="444"/>
      <c r="J167" s="123"/>
      <c r="K167" s="123"/>
    </row>
    <row r="168" spans="2:11" x14ac:dyDescent="0.3">
      <c r="B168" s="123"/>
      <c r="C168" s="389" t="s">
        <v>353</v>
      </c>
      <c r="D168" s="428">
        <f>SUM(D93,D145)</f>
        <v>0</v>
      </c>
      <c r="E168" s="444"/>
      <c r="F168" s="444"/>
      <c r="G168" s="443"/>
      <c r="H168" s="444"/>
      <c r="J168" s="123"/>
      <c r="K168" s="123"/>
    </row>
    <row r="169" spans="2:11" ht="15" thickBot="1" x14ac:dyDescent="0.35">
      <c r="B169" s="123"/>
      <c r="C169" s="394" t="s">
        <v>258</v>
      </c>
      <c r="D169" s="480">
        <f>SUM(D154:D168)</f>
        <v>1179677.55</v>
      </c>
      <c r="E169" s="444"/>
      <c r="F169" s="444"/>
      <c r="G169" s="443"/>
      <c r="H169" s="444"/>
      <c r="J169" s="123"/>
      <c r="K169" s="123"/>
    </row>
    <row r="170" spans="2:11" x14ac:dyDescent="0.3">
      <c r="B170" s="123"/>
      <c r="C170" s="123"/>
      <c r="D170" s="123"/>
      <c r="E170" s="444"/>
      <c r="F170" s="444"/>
      <c r="G170" s="443"/>
      <c r="H170" s="444"/>
      <c r="J170" s="123"/>
      <c r="K170" s="123"/>
    </row>
  </sheetData>
  <autoFilter ref="B8:L30" xr:uid="{00000000-0009-0000-0000-00000E000000}"/>
  <mergeCells count="8">
    <mergeCell ref="P6:R6"/>
    <mergeCell ref="M7:O7"/>
    <mergeCell ref="P7:R7"/>
    <mergeCell ref="D7:F7"/>
    <mergeCell ref="G7:I7"/>
    <mergeCell ref="D6:L6"/>
    <mergeCell ref="J7:L7"/>
    <mergeCell ref="M6:O6"/>
  </mergeCells>
  <printOptions gridLines="1"/>
  <pageMargins left="0.7" right="0.7" top="0.75" bottom="0.75" header="0.3" footer="0.3"/>
  <pageSetup scale="21"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170"/>
  <sheetViews>
    <sheetView zoomScaleNormal="100" workbookViewId="0">
      <selection activeCell="S57" sqref="S57"/>
    </sheetView>
  </sheetViews>
  <sheetFormatPr defaultColWidth="9.109375" defaultRowHeight="14.4" x14ac:dyDescent="0.3"/>
  <cols>
    <col min="1" max="1" width="23.33203125" style="123" customWidth="1"/>
    <col min="2" max="2" width="56.5546875" style="123" customWidth="1"/>
    <col min="3" max="3" width="29" style="123" bestFit="1" customWidth="1"/>
    <col min="4" max="9" width="26.33203125" style="123" customWidth="1"/>
    <col min="10" max="12" width="21.44140625" style="123" customWidth="1"/>
    <col min="13" max="15" width="25" style="123" customWidth="1"/>
    <col min="16" max="17" width="9.6640625" style="123" customWidth="1"/>
    <col min="18" max="19" width="10.6640625" style="123" customWidth="1"/>
    <col min="20" max="16384" width="9.109375" style="123"/>
  </cols>
  <sheetData>
    <row r="1" spans="1:18" x14ac:dyDescent="0.3">
      <c r="A1" s="59" t="s">
        <v>240</v>
      </c>
      <c r="B1" s="59" t="s">
        <v>346</v>
      </c>
      <c r="D1" s="250" t="s">
        <v>2</v>
      </c>
      <c r="E1" s="250" t="s">
        <v>69</v>
      </c>
      <c r="G1" s="56"/>
      <c r="H1" s="56"/>
      <c r="I1" s="56"/>
      <c r="J1" s="56"/>
      <c r="K1" s="56"/>
      <c r="L1" s="56"/>
    </row>
    <row r="2" spans="1:18" x14ac:dyDescent="0.3">
      <c r="A2" s="59"/>
      <c r="B2" s="56"/>
      <c r="D2" s="250" t="s">
        <v>4</v>
      </c>
      <c r="E2" s="265">
        <v>2024</v>
      </c>
      <c r="G2" s="56"/>
      <c r="H2" s="56"/>
      <c r="I2" s="56"/>
      <c r="J2" s="56"/>
      <c r="K2" s="56"/>
      <c r="L2" s="56"/>
    </row>
    <row r="3" spans="1:18" x14ac:dyDescent="0.3">
      <c r="A3" s="72"/>
      <c r="B3" s="72"/>
      <c r="C3" s="72"/>
      <c r="D3" s="72"/>
      <c r="E3" s="72"/>
      <c r="G3" s="72"/>
      <c r="H3" s="72"/>
      <c r="I3" s="72"/>
      <c r="J3" s="72"/>
      <c r="K3" s="72"/>
      <c r="L3" s="72"/>
    </row>
    <row r="4" spans="1:18" x14ac:dyDescent="0.3">
      <c r="A4" s="340" t="s">
        <v>241</v>
      </c>
      <c r="B4" s="57"/>
      <c r="C4" s="57"/>
      <c r="D4" s="57"/>
      <c r="E4" s="57"/>
      <c r="G4" s="57"/>
      <c r="H4" s="57"/>
      <c r="I4" s="57"/>
      <c r="J4" s="57"/>
      <c r="K4" s="57"/>
      <c r="L4" s="113"/>
      <c r="M4" s="130"/>
      <c r="N4" s="130"/>
      <c r="O4" s="130"/>
      <c r="P4" s="130"/>
      <c r="Q4" s="130"/>
    </row>
    <row r="5" spans="1:18" ht="15" thickBot="1" x14ac:dyDescent="0.35">
      <c r="A5" s="418" t="s">
        <v>222</v>
      </c>
      <c r="M5" s="130"/>
      <c r="N5" s="130"/>
      <c r="O5" s="130"/>
      <c r="P5" s="130"/>
      <c r="Q5" s="130"/>
    </row>
    <row r="6" spans="1:18" ht="15" thickBot="1" x14ac:dyDescent="0.35">
      <c r="A6" s="418"/>
      <c r="B6" s="418"/>
      <c r="C6" s="418"/>
      <c r="D6" s="968">
        <v>2022</v>
      </c>
      <c r="E6" s="969"/>
      <c r="F6" s="969"/>
      <c r="G6" s="969"/>
      <c r="H6" s="969"/>
      <c r="I6" s="969"/>
      <c r="J6" s="969"/>
      <c r="K6" s="969"/>
      <c r="L6" s="970"/>
      <c r="M6" s="980">
        <v>2025</v>
      </c>
      <c r="N6" s="981"/>
      <c r="O6" s="982"/>
      <c r="P6" s="2"/>
      <c r="Q6" s="2"/>
    </row>
    <row r="7" spans="1:18" ht="15" thickBot="1" x14ac:dyDescent="0.35">
      <c r="A7" s="418"/>
      <c r="B7" s="418"/>
      <c r="C7" s="418"/>
      <c r="D7" s="971" t="s">
        <v>231</v>
      </c>
      <c r="E7" s="972"/>
      <c r="F7" s="973"/>
      <c r="G7" s="974" t="s">
        <v>232</v>
      </c>
      <c r="H7" s="975"/>
      <c r="I7" s="976"/>
      <c r="J7" s="977" t="s">
        <v>233</v>
      </c>
      <c r="K7" s="978"/>
      <c r="L7" s="979"/>
      <c r="M7" s="971" t="s">
        <v>231</v>
      </c>
      <c r="N7" s="972"/>
      <c r="O7" s="973"/>
      <c r="P7" s="2"/>
      <c r="Q7" s="2"/>
    </row>
    <row r="8" spans="1:18" ht="43.8" thickBot="1" x14ac:dyDescent="0.35">
      <c r="A8" s="440" t="s">
        <v>2</v>
      </c>
      <c r="B8" s="441" t="s">
        <v>223</v>
      </c>
      <c r="C8" s="442" t="s">
        <v>224</v>
      </c>
      <c r="D8" s="268" t="s">
        <v>234</v>
      </c>
      <c r="E8" s="267" t="s">
        <v>235</v>
      </c>
      <c r="F8" s="269" t="s">
        <v>236</v>
      </c>
      <c r="G8" s="268" t="s">
        <v>225</v>
      </c>
      <c r="H8" s="267" t="s">
        <v>226</v>
      </c>
      <c r="I8" s="269" t="s">
        <v>227</v>
      </c>
      <c r="J8" s="268" t="s">
        <v>237</v>
      </c>
      <c r="K8" s="267" t="s">
        <v>238</v>
      </c>
      <c r="L8" s="449" t="s">
        <v>239</v>
      </c>
      <c r="M8" s="268" t="s">
        <v>234</v>
      </c>
      <c r="N8" s="267" t="s">
        <v>235</v>
      </c>
      <c r="O8" s="269" t="s">
        <v>236</v>
      </c>
      <c r="P8" s="2"/>
      <c r="Q8" s="2"/>
    </row>
    <row r="9" spans="1:18" ht="15.6" x14ac:dyDescent="0.3">
      <c r="A9" s="44" t="str">
        <f>$E$1</f>
        <v>Unitil</v>
      </c>
      <c r="B9" s="450" t="s">
        <v>355</v>
      </c>
      <c r="C9" s="453" t="s">
        <v>361</v>
      </c>
      <c r="D9" s="272"/>
      <c r="E9" s="270"/>
      <c r="F9" s="271"/>
      <c r="G9" s="272"/>
      <c r="H9" s="270"/>
      <c r="I9" s="271"/>
      <c r="J9" s="374">
        <f>IFERROR(((G9-D9)/D9),0)</f>
        <v>0</v>
      </c>
      <c r="K9" s="375">
        <f t="shared" ref="K9:L25" si="0">IFERROR(((H9-E9)/E9),0)</f>
        <v>0</v>
      </c>
      <c r="L9" s="376">
        <f t="shared" si="0"/>
        <v>0</v>
      </c>
      <c r="M9" s="272"/>
      <c r="N9" s="270"/>
      <c r="O9" s="271"/>
      <c r="R9" s="110"/>
    </row>
    <row r="10" spans="1:18" ht="15.6" x14ac:dyDescent="0.3">
      <c r="A10" s="45" t="str">
        <f t="shared" ref="A10:A42" si="1">$E$1</f>
        <v>Unitil</v>
      </c>
      <c r="B10" s="451" t="s">
        <v>355</v>
      </c>
      <c r="C10" s="454" t="s">
        <v>356</v>
      </c>
      <c r="D10" s="273"/>
      <c r="E10" s="274"/>
      <c r="F10" s="275"/>
      <c r="G10" s="273"/>
      <c r="H10" s="274"/>
      <c r="I10" s="275"/>
      <c r="J10" s="377">
        <f t="shared" ref="J10:L26" si="2">IFERROR(((G10-D10)/D10),0)</f>
        <v>0</v>
      </c>
      <c r="K10" s="378">
        <f t="shared" si="0"/>
        <v>0</v>
      </c>
      <c r="L10" s="379">
        <f t="shared" si="0"/>
        <v>0</v>
      </c>
      <c r="M10" s="273"/>
      <c r="N10" s="274"/>
      <c r="O10" s="275"/>
      <c r="R10" s="110"/>
    </row>
    <row r="11" spans="1:18" ht="15.6" x14ac:dyDescent="0.3">
      <c r="A11" s="45" t="str">
        <f t="shared" si="1"/>
        <v>Unitil</v>
      </c>
      <c r="B11" s="451" t="s">
        <v>355</v>
      </c>
      <c r="C11" s="454" t="s">
        <v>364</v>
      </c>
      <c r="D11" s="456"/>
      <c r="E11" s="457"/>
      <c r="F11" s="458"/>
      <c r="G11" s="456"/>
      <c r="H11" s="457"/>
      <c r="I11" s="458"/>
      <c r="J11" s="459">
        <f t="shared" si="2"/>
        <v>0</v>
      </c>
      <c r="K11" s="460">
        <f t="shared" si="0"/>
        <v>0</v>
      </c>
      <c r="L11" s="461">
        <f t="shared" si="0"/>
        <v>0</v>
      </c>
      <c r="M11" s="456"/>
      <c r="N11" s="457"/>
      <c r="O11" s="458"/>
      <c r="R11" s="110"/>
    </row>
    <row r="12" spans="1:18" ht="15.6" x14ac:dyDescent="0.3">
      <c r="A12" s="45" t="str">
        <f t="shared" si="1"/>
        <v>Unitil</v>
      </c>
      <c r="B12" s="451" t="s">
        <v>355</v>
      </c>
      <c r="C12" s="454" t="s">
        <v>365</v>
      </c>
      <c r="D12" s="456"/>
      <c r="E12" s="457"/>
      <c r="F12" s="458"/>
      <c r="G12" s="456"/>
      <c r="H12" s="457"/>
      <c r="I12" s="458"/>
      <c r="J12" s="459">
        <f t="shared" si="2"/>
        <v>0</v>
      </c>
      <c r="K12" s="460">
        <f t="shared" si="0"/>
        <v>0</v>
      </c>
      <c r="L12" s="461">
        <f t="shared" si="0"/>
        <v>0</v>
      </c>
      <c r="M12" s="456"/>
      <c r="N12" s="457"/>
      <c r="O12" s="458"/>
      <c r="R12" s="110"/>
    </row>
    <row r="13" spans="1:18" ht="15.6" x14ac:dyDescent="0.3">
      <c r="A13" s="45" t="str">
        <f t="shared" si="1"/>
        <v>Unitil</v>
      </c>
      <c r="B13" s="451" t="s">
        <v>366</v>
      </c>
      <c r="C13" s="454" t="s">
        <v>367</v>
      </c>
      <c r="D13" s="456"/>
      <c r="E13" s="457"/>
      <c r="F13" s="458"/>
      <c r="G13" s="456"/>
      <c r="H13" s="457"/>
      <c r="I13" s="458"/>
      <c r="J13" s="459">
        <f t="shared" si="2"/>
        <v>0</v>
      </c>
      <c r="K13" s="460">
        <f t="shared" si="0"/>
        <v>0</v>
      </c>
      <c r="L13" s="461">
        <f t="shared" si="0"/>
        <v>0</v>
      </c>
      <c r="M13" s="456"/>
      <c r="N13" s="457"/>
      <c r="O13" s="458"/>
      <c r="R13" s="110"/>
    </row>
    <row r="14" spans="1:18" ht="15.6" x14ac:dyDescent="0.3">
      <c r="A14" s="45" t="str">
        <f t="shared" si="1"/>
        <v>Unitil</v>
      </c>
      <c r="B14" s="451" t="s">
        <v>7</v>
      </c>
      <c r="C14" s="454" t="s">
        <v>368</v>
      </c>
      <c r="D14" s="456"/>
      <c r="E14" s="457"/>
      <c r="F14" s="458"/>
      <c r="G14" s="456"/>
      <c r="H14" s="457"/>
      <c r="I14" s="458"/>
      <c r="J14" s="459">
        <f t="shared" si="2"/>
        <v>0</v>
      </c>
      <c r="K14" s="460">
        <f t="shared" si="0"/>
        <v>0</v>
      </c>
      <c r="L14" s="461">
        <f t="shared" si="0"/>
        <v>0</v>
      </c>
      <c r="M14" s="456"/>
      <c r="N14" s="457"/>
      <c r="O14" s="458"/>
      <c r="P14" s="12"/>
      <c r="R14" s="110"/>
    </row>
    <row r="15" spans="1:18" ht="15.6" x14ac:dyDescent="0.3">
      <c r="A15" s="45" t="str">
        <f t="shared" si="1"/>
        <v>Unitil</v>
      </c>
      <c r="B15" s="451" t="s">
        <v>7</v>
      </c>
      <c r="C15" s="454" t="s">
        <v>369</v>
      </c>
      <c r="D15" s="456"/>
      <c r="E15" s="457"/>
      <c r="F15" s="458"/>
      <c r="G15" s="456"/>
      <c r="H15" s="457"/>
      <c r="I15" s="458"/>
      <c r="J15" s="459">
        <f t="shared" si="2"/>
        <v>0</v>
      </c>
      <c r="K15" s="460">
        <f t="shared" si="0"/>
        <v>0</v>
      </c>
      <c r="L15" s="461">
        <f t="shared" si="0"/>
        <v>0</v>
      </c>
      <c r="M15" s="456"/>
      <c r="N15" s="457"/>
      <c r="O15" s="458"/>
      <c r="R15" s="110"/>
    </row>
    <row r="16" spans="1:18" ht="15.6" x14ac:dyDescent="0.3">
      <c r="A16" s="45" t="str">
        <f t="shared" si="1"/>
        <v>Unitil</v>
      </c>
      <c r="B16" s="451" t="s">
        <v>7</v>
      </c>
      <c r="C16" s="454" t="s">
        <v>367</v>
      </c>
      <c r="D16" s="456"/>
      <c r="E16" s="457"/>
      <c r="F16" s="458"/>
      <c r="G16" s="456"/>
      <c r="H16" s="457"/>
      <c r="I16" s="458"/>
      <c r="J16" s="459">
        <f t="shared" si="2"/>
        <v>0</v>
      </c>
      <c r="K16" s="460">
        <f t="shared" si="0"/>
        <v>0</v>
      </c>
      <c r="L16" s="461">
        <f t="shared" si="0"/>
        <v>0</v>
      </c>
      <c r="M16" s="456"/>
      <c r="N16" s="457"/>
      <c r="O16" s="458"/>
      <c r="R16" s="110"/>
    </row>
    <row r="17" spans="1:21" ht="15.6" x14ac:dyDescent="0.3">
      <c r="A17" s="45" t="str">
        <f t="shared" si="1"/>
        <v>Unitil</v>
      </c>
      <c r="B17" s="451" t="s">
        <v>7</v>
      </c>
      <c r="C17" s="454" t="s">
        <v>382</v>
      </c>
      <c r="D17" s="456"/>
      <c r="E17" s="457"/>
      <c r="F17" s="458"/>
      <c r="G17" s="456"/>
      <c r="H17" s="457"/>
      <c r="I17" s="458"/>
      <c r="J17" s="459">
        <f t="shared" ref="J17" si="3">IFERROR(((G17-D17)/D17),0)</f>
        <v>0</v>
      </c>
      <c r="K17" s="460">
        <f t="shared" ref="K17" si="4">IFERROR(((H17-E17)/E17),0)</f>
        <v>0</v>
      </c>
      <c r="L17" s="461">
        <f t="shared" ref="L17" si="5">IFERROR(((I17-F17)/F17),0)</f>
        <v>0</v>
      </c>
      <c r="M17" s="456"/>
      <c r="N17" s="457"/>
      <c r="O17" s="458"/>
      <c r="R17" s="110"/>
    </row>
    <row r="18" spans="1:21" ht="15.6" x14ac:dyDescent="0.3">
      <c r="A18" s="45" t="str">
        <f t="shared" si="1"/>
        <v>Unitil</v>
      </c>
      <c r="B18" s="451" t="s">
        <v>8</v>
      </c>
      <c r="C18" s="454" t="s">
        <v>370</v>
      </c>
      <c r="D18" s="456"/>
      <c r="E18" s="457"/>
      <c r="F18" s="458"/>
      <c r="G18" s="456"/>
      <c r="H18" s="457"/>
      <c r="I18" s="458"/>
      <c r="J18" s="459">
        <f t="shared" si="2"/>
        <v>0</v>
      </c>
      <c r="K18" s="460">
        <f t="shared" si="0"/>
        <v>0</v>
      </c>
      <c r="L18" s="461">
        <f t="shared" si="0"/>
        <v>0</v>
      </c>
      <c r="M18" s="456"/>
      <c r="N18" s="457"/>
      <c r="O18" s="458"/>
      <c r="R18" s="110"/>
    </row>
    <row r="19" spans="1:21" ht="15.6" x14ac:dyDescent="0.3">
      <c r="A19" s="45" t="str">
        <f t="shared" si="1"/>
        <v>Unitil</v>
      </c>
      <c r="B19" s="451" t="s">
        <v>8</v>
      </c>
      <c r="C19" s="454" t="s">
        <v>371</v>
      </c>
      <c r="D19" s="456"/>
      <c r="E19" s="457"/>
      <c r="F19" s="458"/>
      <c r="G19" s="456"/>
      <c r="H19" s="457"/>
      <c r="I19" s="458"/>
      <c r="J19" s="459">
        <f t="shared" si="2"/>
        <v>0</v>
      </c>
      <c r="K19" s="460">
        <f t="shared" si="0"/>
        <v>0</v>
      </c>
      <c r="L19" s="461">
        <f t="shared" si="0"/>
        <v>0</v>
      </c>
      <c r="M19" s="456"/>
      <c r="N19" s="457"/>
      <c r="O19" s="458"/>
      <c r="R19" s="110"/>
    </row>
    <row r="20" spans="1:21" ht="15.6" x14ac:dyDescent="0.3">
      <c r="A20" s="45" t="str">
        <f t="shared" si="1"/>
        <v>Unitil</v>
      </c>
      <c r="B20" s="451" t="s">
        <v>8</v>
      </c>
      <c r="C20" s="454" t="s">
        <v>372</v>
      </c>
      <c r="D20" s="481"/>
      <c r="E20" s="482"/>
      <c r="F20" s="483"/>
      <c r="G20" s="481"/>
      <c r="H20" s="482"/>
      <c r="I20" s="483"/>
      <c r="J20" s="484">
        <f t="shared" si="2"/>
        <v>0</v>
      </c>
      <c r="K20" s="485">
        <f t="shared" si="0"/>
        <v>0</v>
      </c>
      <c r="L20" s="486">
        <f t="shared" si="0"/>
        <v>0</v>
      </c>
      <c r="M20" s="481"/>
      <c r="N20" s="482"/>
      <c r="O20" s="483"/>
      <c r="P20" s="72"/>
      <c r="Q20" s="72"/>
      <c r="R20" s="487"/>
      <c r="S20" s="72"/>
      <c r="T20" s="72"/>
      <c r="U20" s="72"/>
    </row>
    <row r="21" spans="1:21" ht="15.6" x14ac:dyDescent="0.3">
      <c r="A21" s="45" t="str">
        <f t="shared" si="1"/>
        <v>Unitil</v>
      </c>
      <c r="B21" s="451" t="s">
        <v>8</v>
      </c>
      <c r="C21" s="454" t="s">
        <v>373</v>
      </c>
      <c r="D21" s="273"/>
      <c r="E21" s="274"/>
      <c r="F21" s="275"/>
      <c r="G21" s="273"/>
      <c r="H21" s="274"/>
      <c r="I21" s="275"/>
      <c r="J21" s="377">
        <f t="shared" si="2"/>
        <v>0</v>
      </c>
      <c r="K21" s="378">
        <f t="shared" si="0"/>
        <v>0</v>
      </c>
      <c r="L21" s="379">
        <f t="shared" si="0"/>
        <v>0</v>
      </c>
      <c r="M21" s="273"/>
      <c r="N21" s="274"/>
      <c r="O21" s="275"/>
      <c r="R21" s="110"/>
    </row>
    <row r="22" spans="1:21" ht="15.6" x14ac:dyDescent="0.3">
      <c r="A22" s="45" t="str">
        <f t="shared" si="1"/>
        <v>Unitil</v>
      </c>
      <c r="B22" s="451" t="s">
        <v>8</v>
      </c>
      <c r="C22" s="454" t="s">
        <v>374</v>
      </c>
      <c r="D22" s="273"/>
      <c r="E22" s="274"/>
      <c r="F22" s="275"/>
      <c r="G22" s="273"/>
      <c r="H22" s="274"/>
      <c r="I22" s="275"/>
      <c r="J22" s="377">
        <f t="shared" si="2"/>
        <v>0</v>
      </c>
      <c r="K22" s="378">
        <f t="shared" si="0"/>
        <v>0</v>
      </c>
      <c r="L22" s="379">
        <f t="shared" si="0"/>
        <v>0</v>
      </c>
      <c r="M22" s="273"/>
      <c r="N22" s="274"/>
      <c r="O22" s="275"/>
      <c r="R22" s="110"/>
    </row>
    <row r="23" spans="1:21" ht="15.6" x14ac:dyDescent="0.3">
      <c r="A23" s="45" t="str">
        <f t="shared" si="1"/>
        <v>Unitil</v>
      </c>
      <c r="B23" s="451" t="s">
        <v>8</v>
      </c>
      <c r="C23" s="454" t="s">
        <v>375</v>
      </c>
      <c r="D23" s="273"/>
      <c r="E23" s="274"/>
      <c r="F23" s="275"/>
      <c r="G23" s="273"/>
      <c r="H23" s="274"/>
      <c r="I23" s="275"/>
      <c r="J23" s="377">
        <f t="shared" si="2"/>
        <v>0</v>
      </c>
      <c r="K23" s="378">
        <f t="shared" si="0"/>
        <v>0</v>
      </c>
      <c r="L23" s="379">
        <f t="shared" si="0"/>
        <v>0</v>
      </c>
      <c r="M23" s="273"/>
      <c r="N23" s="274"/>
      <c r="O23" s="275"/>
      <c r="R23" s="110"/>
    </row>
    <row r="24" spans="1:21" ht="31.2" x14ac:dyDescent="0.3">
      <c r="A24" s="45" t="str">
        <f t="shared" si="1"/>
        <v>Unitil</v>
      </c>
      <c r="B24" s="451" t="s">
        <v>9</v>
      </c>
      <c r="C24" s="454" t="s">
        <v>357</v>
      </c>
      <c r="D24" s="273"/>
      <c r="E24" s="274"/>
      <c r="F24" s="275"/>
      <c r="G24" s="273"/>
      <c r="H24" s="274"/>
      <c r="I24" s="275"/>
      <c r="J24" s="377">
        <f t="shared" si="2"/>
        <v>0</v>
      </c>
      <c r="K24" s="378">
        <f t="shared" si="0"/>
        <v>0</v>
      </c>
      <c r="L24" s="379">
        <f t="shared" si="0"/>
        <v>0</v>
      </c>
      <c r="M24" s="273"/>
      <c r="N24" s="274"/>
      <c r="O24" s="275"/>
      <c r="R24" s="110"/>
    </row>
    <row r="25" spans="1:21" ht="31.2" x14ac:dyDescent="0.3">
      <c r="A25" s="45" t="str">
        <f t="shared" si="1"/>
        <v>Unitil</v>
      </c>
      <c r="B25" s="451" t="s">
        <v>376</v>
      </c>
      <c r="C25" s="454" t="s">
        <v>10</v>
      </c>
      <c r="D25" s="456"/>
      <c r="E25" s="457"/>
      <c r="F25" s="458"/>
      <c r="G25" s="456"/>
      <c r="H25" s="457"/>
      <c r="I25" s="458"/>
      <c r="J25" s="459">
        <f t="shared" si="2"/>
        <v>0</v>
      </c>
      <c r="K25" s="460">
        <f t="shared" si="0"/>
        <v>0</v>
      </c>
      <c r="L25" s="461">
        <f t="shared" si="0"/>
        <v>0</v>
      </c>
      <c r="M25" s="456"/>
      <c r="N25" s="457"/>
      <c r="O25" s="458"/>
      <c r="Q25" s="11"/>
      <c r="R25" s="110"/>
    </row>
    <row r="26" spans="1:21" ht="31.2" x14ac:dyDescent="0.3">
      <c r="A26" s="45" t="str">
        <f t="shared" si="1"/>
        <v>Unitil</v>
      </c>
      <c r="B26" s="451" t="s">
        <v>376</v>
      </c>
      <c r="C26" s="454" t="s">
        <v>335</v>
      </c>
      <c r="D26" s="456"/>
      <c r="E26" s="457"/>
      <c r="F26" s="458"/>
      <c r="G26" s="456"/>
      <c r="H26" s="457"/>
      <c r="I26" s="458"/>
      <c r="J26" s="459">
        <f t="shared" si="2"/>
        <v>0</v>
      </c>
      <c r="K26" s="460">
        <f t="shared" si="2"/>
        <v>0</v>
      </c>
      <c r="L26" s="461">
        <f t="shared" si="2"/>
        <v>0</v>
      </c>
      <c r="M26" s="456"/>
      <c r="N26" s="457"/>
      <c r="O26" s="458"/>
    </row>
    <row r="27" spans="1:21" ht="31.2" x14ac:dyDescent="0.3">
      <c r="A27" s="45" t="str">
        <f t="shared" si="1"/>
        <v>Unitil</v>
      </c>
      <c r="B27" s="451" t="s">
        <v>10</v>
      </c>
      <c r="C27" s="454" t="s">
        <v>377</v>
      </c>
      <c r="D27" s="456"/>
      <c r="E27" s="457"/>
      <c r="F27" s="458"/>
      <c r="G27" s="456"/>
      <c r="H27" s="457"/>
      <c r="I27" s="458"/>
      <c r="J27" s="459">
        <f>IFERROR(((G27-D27)/D27),0)</f>
        <v>0</v>
      </c>
      <c r="K27" s="460">
        <f t="shared" ref="K27:L27" si="6">IFERROR(((H27-E27)/E27),0)</f>
        <v>0</v>
      </c>
      <c r="L27" s="461">
        <f t="shared" si="6"/>
        <v>0</v>
      </c>
      <c r="M27" s="456"/>
      <c r="N27" s="457"/>
      <c r="O27" s="458"/>
    </row>
    <row r="28" spans="1:21" ht="31.2" x14ac:dyDescent="0.3">
      <c r="A28" s="45" t="str">
        <f t="shared" si="1"/>
        <v>Unitil</v>
      </c>
      <c r="B28" s="451" t="s">
        <v>10</v>
      </c>
      <c r="C28" s="454" t="s">
        <v>378</v>
      </c>
      <c r="D28" s="456"/>
      <c r="E28" s="457"/>
      <c r="F28" s="458"/>
      <c r="G28" s="456"/>
      <c r="H28" s="457"/>
      <c r="I28" s="458"/>
      <c r="J28" s="459">
        <f t="shared" ref="J28:L36" si="7">IFERROR(((G28-D23)/D23),0)</f>
        <v>0</v>
      </c>
      <c r="K28" s="460">
        <f t="shared" si="7"/>
        <v>0</v>
      </c>
      <c r="L28" s="461">
        <f t="shared" si="7"/>
        <v>0</v>
      </c>
      <c r="M28" s="456"/>
      <c r="N28" s="457"/>
      <c r="O28" s="458"/>
    </row>
    <row r="29" spans="1:21" s="7" customFormat="1" ht="15.6" x14ac:dyDescent="0.3">
      <c r="A29" s="45" t="str">
        <f t="shared" si="1"/>
        <v>Unitil</v>
      </c>
      <c r="B29" s="451" t="s">
        <v>10</v>
      </c>
      <c r="C29" s="454" t="s">
        <v>359</v>
      </c>
      <c r="D29" s="273"/>
      <c r="E29" s="274"/>
      <c r="F29" s="275"/>
      <c r="G29" s="273"/>
      <c r="H29" s="274"/>
      <c r="I29" s="275"/>
      <c r="J29" s="377">
        <f t="shared" si="7"/>
        <v>0</v>
      </c>
      <c r="K29" s="378">
        <f t="shared" si="7"/>
        <v>0</v>
      </c>
      <c r="L29" s="379">
        <f t="shared" si="7"/>
        <v>0</v>
      </c>
      <c r="M29" s="273"/>
      <c r="N29" s="274"/>
      <c r="O29" s="275"/>
    </row>
    <row r="30" spans="1:21" ht="15.6" x14ac:dyDescent="0.3">
      <c r="A30" s="45" t="str">
        <f t="shared" si="1"/>
        <v>Unitil</v>
      </c>
      <c r="B30" s="451" t="s">
        <v>336</v>
      </c>
      <c r="C30" s="454" t="s">
        <v>339</v>
      </c>
      <c r="D30" s="456"/>
      <c r="E30" s="457"/>
      <c r="F30" s="458"/>
      <c r="G30" s="456"/>
      <c r="H30" s="457"/>
      <c r="I30" s="458"/>
      <c r="J30" s="459">
        <f t="shared" si="7"/>
        <v>0</v>
      </c>
      <c r="K30" s="460">
        <f t="shared" si="7"/>
        <v>0</v>
      </c>
      <c r="L30" s="461">
        <f t="shared" si="7"/>
        <v>0</v>
      </c>
      <c r="M30" s="456"/>
      <c r="N30" s="457"/>
      <c r="O30" s="458"/>
    </row>
    <row r="31" spans="1:21" ht="31.2" x14ac:dyDescent="0.3">
      <c r="A31" s="45" t="str">
        <f t="shared" si="1"/>
        <v>Unitil</v>
      </c>
      <c r="B31" s="451" t="s">
        <v>336</v>
      </c>
      <c r="C31" s="454" t="s">
        <v>379</v>
      </c>
      <c r="D31" s="469"/>
      <c r="E31" s="470"/>
      <c r="F31" s="471"/>
      <c r="G31" s="456"/>
      <c r="H31" s="457"/>
      <c r="I31" s="458"/>
      <c r="J31" s="459">
        <f t="shared" si="7"/>
        <v>0</v>
      </c>
      <c r="K31" s="460">
        <f t="shared" si="7"/>
        <v>0</v>
      </c>
      <c r="L31" s="461">
        <f t="shared" si="7"/>
        <v>0</v>
      </c>
      <c r="M31" s="469"/>
      <c r="N31" s="470"/>
      <c r="O31" s="471"/>
    </row>
    <row r="32" spans="1:21" ht="15.6" x14ac:dyDescent="0.3">
      <c r="A32" s="45" t="str">
        <f t="shared" si="1"/>
        <v>Unitil</v>
      </c>
      <c r="B32" s="451" t="s">
        <v>342</v>
      </c>
      <c r="C32" s="454" t="s">
        <v>358</v>
      </c>
      <c r="D32" s="279"/>
      <c r="E32" s="274"/>
      <c r="F32" s="275"/>
      <c r="G32" s="273"/>
      <c r="H32" s="274"/>
      <c r="I32" s="275"/>
      <c r="J32" s="377">
        <f t="shared" si="7"/>
        <v>0</v>
      </c>
      <c r="K32" s="378">
        <f t="shared" si="7"/>
        <v>0</v>
      </c>
      <c r="L32" s="379">
        <f t="shared" si="7"/>
        <v>0</v>
      </c>
      <c r="M32" s="279"/>
      <c r="N32" s="274"/>
      <c r="O32" s="275"/>
    </row>
    <row r="33" spans="1:15" ht="15.6" x14ac:dyDescent="0.3">
      <c r="A33" s="45" t="str">
        <f t="shared" si="1"/>
        <v>Unitil</v>
      </c>
      <c r="B33" s="451" t="s">
        <v>342</v>
      </c>
      <c r="C33" s="454" t="s">
        <v>380</v>
      </c>
      <c r="D33" s="462"/>
      <c r="E33" s="457"/>
      <c r="F33" s="458"/>
      <c r="G33" s="456"/>
      <c r="H33" s="457"/>
      <c r="I33" s="458"/>
      <c r="J33" s="459">
        <f t="shared" si="7"/>
        <v>0</v>
      </c>
      <c r="K33" s="460">
        <f t="shared" si="7"/>
        <v>0</v>
      </c>
      <c r="L33" s="461">
        <f t="shared" si="7"/>
        <v>0</v>
      </c>
      <c r="M33" s="462"/>
      <c r="N33" s="457"/>
      <c r="O33" s="458"/>
    </row>
    <row r="34" spans="1:15" ht="15.6" x14ac:dyDescent="0.3">
      <c r="A34" s="45" t="str">
        <f t="shared" si="1"/>
        <v>Unitil</v>
      </c>
      <c r="B34" s="451" t="s">
        <v>341</v>
      </c>
      <c r="C34" s="454"/>
      <c r="D34" s="463"/>
      <c r="E34" s="464"/>
      <c r="F34" s="465"/>
      <c r="G34" s="456"/>
      <c r="H34" s="457"/>
      <c r="I34" s="458"/>
      <c r="J34" s="459">
        <f t="shared" si="7"/>
        <v>0</v>
      </c>
      <c r="K34" s="460">
        <f t="shared" si="7"/>
        <v>0</v>
      </c>
      <c r="L34" s="461">
        <f t="shared" si="7"/>
        <v>0</v>
      </c>
      <c r="M34" s="463"/>
      <c r="N34" s="464"/>
      <c r="O34" s="465"/>
    </row>
    <row r="35" spans="1:15" ht="15.6" x14ac:dyDescent="0.3">
      <c r="A35" s="45" t="str">
        <f t="shared" si="1"/>
        <v>Unitil</v>
      </c>
      <c r="B35" s="451" t="s">
        <v>362</v>
      </c>
      <c r="C35" s="454" t="s">
        <v>337</v>
      </c>
      <c r="D35" s="463"/>
      <c r="E35" s="464"/>
      <c r="F35" s="465"/>
      <c r="G35" s="456"/>
      <c r="H35" s="457"/>
      <c r="I35" s="458"/>
      <c r="J35" s="459">
        <f t="shared" si="7"/>
        <v>0</v>
      </c>
      <c r="K35" s="460">
        <f t="shared" si="7"/>
        <v>0</v>
      </c>
      <c r="L35" s="461">
        <f t="shared" si="7"/>
        <v>0</v>
      </c>
      <c r="M35" s="463"/>
      <c r="N35" s="464"/>
      <c r="O35" s="465"/>
    </row>
    <row r="36" spans="1:15" ht="15.6" x14ac:dyDescent="0.3">
      <c r="A36" s="45" t="str">
        <f t="shared" si="1"/>
        <v>Unitil</v>
      </c>
      <c r="B36" s="451" t="s">
        <v>11</v>
      </c>
      <c r="C36" s="454" t="s">
        <v>360</v>
      </c>
      <c r="D36" s="463"/>
      <c r="E36" s="464"/>
      <c r="F36" s="465"/>
      <c r="G36" s="456"/>
      <c r="H36" s="457"/>
      <c r="I36" s="458"/>
      <c r="J36" s="459">
        <f t="shared" si="7"/>
        <v>0</v>
      </c>
      <c r="K36" s="460">
        <f t="shared" si="7"/>
        <v>0</v>
      </c>
      <c r="L36" s="461">
        <f t="shared" si="7"/>
        <v>0</v>
      </c>
      <c r="M36" s="463"/>
      <c r="N36" s="464"/>
      <c r="O36" s="465"/>
    </row>
    <row r="37" spans="1:15" ht="15.6" x14ac:dyDescent="0.3">
      <c r="A37" s="45" t="str">
        <f t="shared" si="1"/>
        <v>Unitil</v>
      </c>
      <c r="B37" s="451" t="s">
        <v>350</v>
      </c>
      <c r="C37" s="454" t="s">
        <v>363</v>
      </c>
      <c r="D37" s="279"/>
      <c r="E37" s="274"/>
      <c r="F37" s="275"/>
      <c r="G37" s="273"/>
      <c r="H37" s="274"/>
      <c r="I37" s="275"/>
      <c r="J37" s="380">
        <f t="shared" ref="J37:L39" si="8">IFERROR(((G37-D30)/D30),0)</f>
        <v>0</v>
      </c>
      <c r="K37" s="381">
        <f t="shared" si="8"/>
        <v>0</v>
      </c>
      <c r="L37" s="382">
        <f t="shared" si="8"/>
        <v>0</v>
      </c>
      <c r="M37" s="279"/>
      <c r="N37" s="274"/>
      <c r="O37" s="275"/>
    </row>
    <row r="38" spans="1:15" ht="15.6" x14ac:dyDescent="0.3">
      <c r="A38" s="45" t="str">
        <f t="shared" si="1"/>
        <v>Unitil</v>
      </c>
      <c r="B38" s="451" t="s">
        <v>350</v>
      </c>
      <c r="C38" s="454" t="s">
        <v>354</v>
      </c>
      <c r="D38" s="279"/>
      <c r="E38" s="274"/>
      <c r="F38" s="275"/>
      <c r="G38" s="273"/>
      <c r="H38" s="274"/>
      <c r="I38" s="275"/>
      <c r="J38" s="380">
        <f t="shared" si="8"/>
        <v>0</v>
      </c>
      <c r="K38" s="381">
        <f t="shared" si="8"/>
        <v>0</v>
      </c>
      <c r="L38" s="382">
        <f t="shared" si="8"/>
        <v>0</v>
      </c>
      <c r="M38" s="279"/>
      <c r="N38" s="274"/>
      <c r="O38" s="275"/>
    </row>
    <row r="39" spans="1:15" ht="31.2" x14ac:dyDescent="0.3">
      <c r="A39" s="45" t="str">
        <f t="shared" si="1"/>
        <v>Unitil</v>
      </c>
      <c r="B39" s="451" t="s">
        <v>350</v>
      </c>
      <c r="C39" s="454" t="s">
        <v>381</v>
      </c>
      <c r="D39" s="462"/>
      <c r="E39" s="457"/>
      <c r="F39" s="458"/>
      <c r="G39" s="456"/>
      <c r="H39" s="457"/>
      <c r="I39" s="458"/>
      <c r="J39" s="466">
        <f t="shared" si="8"/>
        <v>0</v>
      </c>
      <c r="K39" s="467">
        <f t="shared" si="8"/>
        <v>0</v>
      </c>
      <c r="L39" s="468">
        <f t="shared" si="8"/>
        <v>0</v>
      </c>
      <c r="M39" s="462"/>
      <c r="N39" s="457"/>
      <c r="O39" s="458"/>
    </row>
    <row r="40" spans="1:15" ht="31.2" x14ac:dyDescent="0.3">
      <c r="A40" s="45" t="str">
        <f t="shared" si="1"/>
        <v>Unitil</v>
      </c>
      <c r="B40" s="451" t="s">
        <v>351</v>
      </c>
      <c r="C40" s="454" t="s">
        <v>351</v>
      </c>
      <c r="D40" s="279"/>
      <c r="E40" s="274"/>
      <c r="F40" s="275"/>
      <c r="G40" s="273"/>
      <c r="H40" s="274"/>
      <c r="I40" s="275"/>
      <c r="J40" s="380">
        <f t="shared" ref="J40:L42" si="9">IFERROR(((G40-D32)/D32),0)</f>
        <v>0</v>
      </c>
      <c r="K40" s="381">
        <f t="shared" si="9"/>
        <v>0</v>
      </c>
      <c r="L40" s="382">
        <f t="shared" si="9"/>
        <v>0</v>
      </c>
      <c r="M40" s="279"/>
      <c r="N40" s="274"/>
      <c r="O40" s="275"/>
    </row>
    <row r="41" spans="1:15" ht="31.2" x14ac:dyDescent="0.3">
      <c r="A41" s="45" t="str">
        <f t="shared" si="1"/>
        <v>Unitil</v>
      </c>
      <c r="B41" s="451" t="s">
        <v>352</v>
      </c>
      <c r="C41" s="454" t="s">
        <v>352</v>
      </c>
      <c r="D41" s="279"/>
      <c r="E41" s="274"/>
      <c r="F41" s="275"/>
      <c r="G41" s="273"/>
      <c r="H41" s="274"/>
      <c r="I41" s="275"/>
      <c r="J41" s="380">
        <f t="shared" si="9"/>
        <v>0</v>
      </c>
      <c r="K41" s="381">
        <f t="shared" si="9"/>
        <v>0</v>
      </c>
      <c r="L41" s="382">
        <f t="shared" si="9"/>
        <v>0</v>
      </c>
      <c r="M41" s="279"/>
      <c r="N41" s="274"/>
      <c r="O41" s="275"/>
    </row>
    <row r="42" spans="1:15" ht="16.2" thickBot="1" x14ac:dyDescent="0.35">
      <c r="A42" s="46" t="str">
        <f t="shared" si="1"/>
        <v>Unitil</v>
      </c>
      <c r="B42" s="452" t="s">
        <v>353</v>
      </c>
      <c r="C42" s="455" t="s">
        <v>353</v>
      </c>
      <c r="D42" s="472"/>
      <c r="E42" s="473"/>
      <c r="F42" s="474"/>
      <c r="G42" s="475"/>
      <c r="H42" s="473"/>
      <c r="I42" s="474"/>
      <c r="J42" s="380">
        <f t="shared" si="9"/>
        <v>0</v>
      </c>
      <c r="K42" s="381">
        <f t="shared" si="9"/>
        <v>0</v>
      </c>
      <c r="L42" s="382">
        <f t="shared" si="9"/>
        <v>0</v>
      </c>
      <c r="M42" s="472"/>
      <c r="N42" s="473"/>
      <c r="O42" s="474"/>
    </row>
    <row r="43" spans="1:15" ht="15" thickBot="1" x14ac:dyDescent="0.35">
      <c r="C43" s="439" t="s">
        <v>228</v>
      </c>
      <c r="D43" s="280">
        <f>SUM(D9:D42)</f>
        <v>0</v>
      </c>
      <c r="E43" s="280">
        <f t="shared" ref="E43:I43" si="10">SUM(E9:E42)</f>
        <v>0</v>
      </c>
      <c r="F43" s="281">
        <f t="shared" si="10"/>
        <v>0</v>
      </c>
      <c r="G43" s="276">
        <f t="shared" si="10"/>
        <v>0</v>
      </c>
      <c r="H43" s="277">
        <f t="shared" si="10"/>
        <v>0</v>
      </c>
      <c r="I43" s="278">
        <f t="shared" si="10"/>
        <v>0</v>
      </c>
      <c r="J43" s="282"/>
      <c r="K43" s="283"/>
      <c r="L43" s="284"/>
      <c r="M43" s="280">
        <f>SUM(M9:M42)</f>
        <v>0</v>
      </c>
      <c r="N43" s="280">
        <f t="shared" ref="N43:O43" si="11">SUM(N9:N42)</f>
        <v>0</v>
      </c>
      <c r="O43" s="281">
        <f t="shared" si="11"/>
        <v>0</v>
      </c>
    </row>
    <row r="45" spans="1:15" ht="15" thickBot="1" x14ac:dyDescent="0.35">
      <c r="B45" s="359"/>
      <c r="D45" s="443"/>
      <c r="E45" s="444"/>
      <c r="F45" s="444"/>
      <c r="G45" s="443"/>
      <c r="H45" s="444"/>
    </row>
    <row r="46" spans="1:15" ht="15" thickBot="1" x14ac:dyDescent="0.35">
      <c r="B46" s="359"/>
      <c r="D46" s="476" t="s">
        <v>252</v>
      </c>
      <c r="E46" s="444"/>
      <c r="F46" s="444"/>
      <c r="G46" s="443"/>
      <c r="H46" s="444"/>
    </row>
    <row r="47" spans="1:15" ht="15" thickBot="1" x14ac:dyDescent="0.35">
      <c r="D47" s="477">
        <v>2024</v>
      </c>
      <c r="E47" s="444"/>
      <c r="F47" s="444"/>
      <c r="G47" s="443"/>
      <c r="H47" s="444"/>
    </row>
    <row r="48" spans="1:15" ht="15" thickBot="1" x14ac:dyDescent="0.35">
      <c r="B48" s="121" t="s">
        <v>223</v>
      </c>
      <c r="C48" s="121" t="s">
        <v>254</v>
      </c>
      <c r="D48" s="478" t="s">
        <v>232</v>
      </c>
      <c r="E48" s="444"/>
      <c r="F48" s="444"/>
      <c r="G48" s="443"/>
      <c r="H48" s="444"/>
    </row>
    <row r="49" spans="2:8" x14ac:dyDescent="0.3">
      <c r="B49" s="389" t="s">
        <v>343</v>
      </c>
      <c r="C49" s="389" t="s">
        <v>255</v>
      </c>
      <c r="D49" s="428"/>
      <c r="E49" s="444"/>
      <c r="F49" s="444"/>
      <c r="G49" s="443"/>
      <c r="H49" s="444"/>
    </row>
    <row r="50" spans="2:8" x14ac:dyDescent="0.3">
      <c r="B50" s="389"/>
      <c r="C50" s="389" t="s">
        <v>256</v>
      </c>
      <c r="D50" s="428"/>
      <c r="E50" s="444"/>
      <c r="F50" s="444"/>
      <c r="G50" s="443"/>
      <c r="H50" s="444"/>
    </row>
    <row r="51" spans="2:8" ht="15" thickBot="1" x14ac:dyDescent="0.35">
      <c r="B51" s="393"/>
      <c r="C51" s="394" t="s">
        <v>257</v>
      </c>
      <c r="D51" s="414"/>
      <c r="E51" s="444"/>
      <c r="F51" s="444"/>
      <c r="G51" s="443"/>
      <c r="H51" s="444"/>
    </row>
    <row r="52" spans="2:8" x14ac:dyDescent="0.3">
      <c r="B52" s="389" t="s">
        <v>7</v>
      </c>
      <c r="C52" s="389" t="s">
        <v>255</v>
      </c>
      <c r="D52" s="428"/>
      <c r="E52" s="444"/>
      <c r="F52" s="444"/>
      <c r="G52" s="443"/>
      <c r="H52" s="444"/>
    </row>
    <row r="53" spans="2:8" x14ac:dyDescent="0.3">
      <c r="B53" s="389"/>
      <c r="C53" s="389" t="s">
        <v>256</v>
      </c>
      <c r="D53" s="428"/>
      <c r="E53" s="444"/>
      <c r="F53" s="444"/>
      <c r="G53" s="443"/>
      <c r="H53" s="444"/>
    </row>
    <row r="54" spans="2:8" ht="15" thickBot="1" x14ac:dyDescent="0.35">
      <c r="B54" s="393"/>
      <c r="C54" s="394" t="s">
        <v>257</v>
      </c>
      <c r="D54" s="414"/>
      <c r="E54" s="444"/>
      <c r="F54" s="444"/>
      <c r="G54" s="443"/>
      <c r="H54" s="444"/>
    </row>
    <row r="55" spans="2:8" x14ac:dyDescent="0.3">
      <c r="B55" s="389" t="s">
        <v>8</v>
      </c>
      <c r="C55" s="389" t="s">
        <v>255</v>
      </c>
      <c r="D55" s="428"/>
      <c r="E55" s="444"/>
      <c r="F55" s="444"/>
      <c r="G55" s="443"/>
      <c r="H55" s="444"/>
    </row>
    <row r="56" spans="2:8" x14ac:dyDescent="0.3">
      <c r="B56" s="389"/>
      <c r="C56" s="389" t="s">
        <v>256</v>
      </c>
      <c r="D56" s="428"/>
      <c r="E56" s="444"/>
      <c r="F56" s="444"/>
      <c r="G56" s="443"/>
      <c r="H56" s="444"/>
    </row>
    <row r="57" spans="2:8" ht="15" thickBot="1" x14ac:dyDescent="0.35">
      <c r="B57" s="393"/>
      <c r="C57" s="394" t="s">
        <v>257</v>
      </c>
      <c r="D57" s="414"/>
      <c r="E57" s="444"/>
      <c r="F57" s="444"/>
      <c r="G57" s="443"/>
      <c r="H57" s="444"/>
    </row>
    <row r="58" spans="2:8" x14ac:dyDescent="0.3">
      <c r="B58" s="389" t="s">
        <v>9</v>
      </c>
      <c r="C58" s="389" t="s">
        <v>255</v>
      </c>
      <c r="D58" s="428"/>
      <c r="E58" s="444"/>
      <c r="F58" s="444"/>
      <c r="G58" s="443"/>
      <c r="H58" s="444"/>
    </row>
    <row r="59" spans="2:8" x14ac:dyDescent="0.3">
      <c r="B59" s="389"/>
      <c r="C59" s="389" t="s">
        <v>256</v>
      </c>
      <c r="D59" s="428"/>
      <c r="E59" s="444"/>
      <c r="F59" s="444"/>
      <c r="G59" s="443"/>
      <c r="H59" s="444"/>
    </row>
    <row r="60" spans="2:8" ht="15" thickBot="1" x14ac:dyDescent="0.35">
      <c r="B60" s="393"/>
      <c r="C60" s="394" t="s">
        <v>257</v>
      </c>
      <c r="D60" s="414"/>
      <c r="E60" s="444"/>
      <c r="F60" s="444"/>
      <c r="G60" s="443"/>
      <c r="H60" s="444"/>
    </row>
    <row r="61" spans="2:8" x14ac:dyDescent="0.3">
      <c r="B61" s="389" t="s">
        <v>335</v>
      </c>
      <c r="C61" s="389" t="s">
        <v>255</v>
      </c>
      <c r="D61" s="428"/>
      <c r="E61" s="444"/>
      <c r="F61" s="444"/>
      <c r="G61" s="443"/>
      <c r="H61" s="444"/>
    </row>
    <row r="62" spans="2:8" x14ac:dyDescent="0.3">
      <c r="B62" s="389"/>
      <c r="C62" s="389" t="s">
        <v>256</v>
      </c>
      <c r="D62" s="428"/>
      <c r="E62" s="444"/>
      <c r="F62" s="444"/>
      <c r="G62" s="443"/>
      <c r="H62" s="444"/>
    </row>
    <row r="63" spans="2:8" ht="15" thickBot="1" x14ac:dyDescent="0.35">
      <c r="B63" s="393"/>
      <c r="C63" s="394" t="s">
        <v>257</v>
      </c>
      <c r="D63" s="414"/>
      <c r="E63" s="444"/>
      <c r="F63" s="444"/>
      <c r="G63" s="443"/>
      <c r="H63" s="444"/>
    </row>
    <row r="64" spans="2:8" x14ac:dyDescent="0.3">
      <c r="B64" s="389" t="s">
        <v>10</v>
      </c>
      <c r="C64" s="389" t="s">
        <v>255</v>
      </c>
      <c r="D64" s="428"/>
      <c r="E64" s="444"/>
      <c r="F64" s="444"/>
      <c r="G64" s="443"/>
      <c r="H64" s="444"/>
    </row>
    <row r="65" spans="2:8" x14ac:dyDescent="0.3">
      <c r="B65" s="389"/>
      <c r="C65" s="389" t="s">
        <v>256</v>
      </c>
      <c r="D65" s="428"/>
      <c r="E65" s="444"/>
      <c r="F65" s="444"/>
      <c r="G65" s="443"/>
      <c r="H65" s="444"/>
    </row>
    <row r="66" spans="2:8" ht="15" thickBot="1" x14ac:dyDescent="0.35">
      <c r="B66" s="393"/>
      <c r="C66" s="394" t="s">
        <v>257</v>
      </c>
      <c r="D66" s="414"/>
      <c r="E66" s="444"/>
      <c r="F66" s="444"/>
      <c r="G66" s="443"/>
      <c r="H66" s="444"/>
    </row>
    <row r="67" spans="2:8" x14ac:dyDescent="0.3">
      <c r="B67" s="389" t="s">
        <v>336</v>
      </c>
      <c r="C67" s="389" t="s">
        <v>255</v>
      </c>
      <c r="D67" s="428"/>
      <c r="E67" s="444"/>
      <c r="F67" s="444"/>
      <c r="G67" s="443"/>
      <c r="H67" s="444"/>
    </row>
    <row r="68" spans="2:8" x14ac:dyDescent="0.3">
      <c r="B68" s="389"/>
      <c r="C68" s="389" t="s">
        <v>256</v>
      </c>
      <c r="D68" s="428"/>
      <c r="E68" s="444"/>
      <c r="F68" s="444"/>
      <c r="G68" s="443"/>
      <c r="H68" s="444"/>
    </row>
    <row r="69" spans="2:8" ht="15" thickBot="1" x14ac:dyDescent="0.35">
      <c r="B69" s="393"/>
      <c r="C69" s="394" t="s">
        <v>257</v>
      </c>
      <c r="D69" s="414"/>
      <c r="E69" s="444"/>
      <c r="F69" s="444"/>
      <c r="G69" s="443"/>
      <c r="H69" s="444"/>
    </row>
    <row r="70" spans="2:8" x14ac:dyDescent="0.3">
      <c r="B70" s="389" t="s">
        <v>349</v>
      </c>
      <c r="C70" s="389" t="s">
        <v>255</v>
      </c>
      <c r="D70" s="428"/>
      <c r="E70" s="444"/>
      <c r="F70" s="444"/>
      <c r="G70" s="443"/>
      <c r="H70" s="444"/>
    </row>
    <row r="71" spans="2:8" x14ac:dyDescent="0.3">
      <c r="B71" s="389"/>
      <c r="C71" s="389" t="s">
        <v>256</v>
      </c>
      <c r="D71" s="428"/>
      <c r="E71" s="444"/>
      <c r="F71" s="444"/>
      <c r="G71" s="443"/>
      <c r="H71" s="444"/>
    </row>
    <row r="72" spans="2:8" ht="15" thickBot="1" x14ac:dyDescent="0.35">
      <c r="B72" s="393"/>
      <c r="C72" s="394" t="s">
        <v>257</v>
      </c>
      <c r="D72" s="414"/>
      <c r="E72" s="444"/>
      <c r="F72" s="444"/>
      <c r="G72" s="443"/>
      <c r="H72" s="444"/>
    </row>
    <row r="73" spans="2:8" x14ac:dyDescent="0.3">
      <c r="B73" s="389" t="s">
        <v>341</v>
      </c>
      <c r="C73" s="389" t="s">
        <v>255</v>
      </c>
      <c r="D73" s="428"/>
      <c r="E73" s="444"/>
      <c r="F73" s="444"/>
      <c r="G73" s="443"/>
      <c r="H73" s="444"/>
    </row>
    <row r="74" spans="2:8" x14ac:dyDescent="0.3">
      <c r="B74" s="389"/>
      <c r="C74" s="389" t="s">
        <v>256</v>
      </c>
      <c r="D74" s="428"/>
      <c r="E74" s="444"/>
      <c r="F74" s="444"/>
      <c r="G74" s="443"/>
      <c r="H74" s="444"/>
    </row>
    <row r="75" spans="2:8" ht="15" thickBot="1" x14ac:dyDescent="0.35">
      <c r="B75" s="393"/>
      <c r="C75" s="394" t="s">
        <v>257</v>
      </c>
      <c r="D75" s="414"/>
      <c r="E75" s="444"/>
      <c r="F75" s="444"/>
      <c r="G75" s="443"/>
      <c r="H75" s="444"/>
    </row>
    <row r="76" spans="2:8" x14ac:dyDescent="0.3">
      <c r="B76" s="389" t="s">
        <v>337</v>
      </c>
      <c r="C76" s="389" t="s">
        <v>255</v>
      </c>
      <c r="D76" s="428"/>
      <c r="E76" s="444"/>
      <c r="F76" s="444"/>
      <c r="G76" s="443"/>
      <c r="H76" s="444"/>
    </row>
    <row r="77" spans="2:8" x14ac:dyDescent="0.3">
      <c r="B77" s="389"/>
      <c r="C77" s="389" t="s">
        <v>256</v>
      </c>
      <c r="D77" s="428"/>
      <c r="E77" s="444"/>
      <c r="F77" s="444"/>
      <c r="G77" s="443"/>
      <c r="H77" s="444"/>
    </row>
    <row r="78" spans="2:8" ht="15" thickBot="1" x14ac:dyDescent="0.35">
      <c r="B78" s="393"/>
      <c r="C78" s="394" t="s">
        <v>257</v>
      </c>
      <c r="D78" s="414"/>
      <c r="E78" s="444"/>
      <c r="F78" s="444"/>
      <c r="G78" s="443"/>
      <c r="H78" s="444"/>
    </row>
    <row r="79" spans="2:8" x14ac:dyDescent="0.3">
      <c r="B79" s="389" t="s">
        <v>11</v>
      </c>
      <c r="C79" s="389" t="s">
        <v>255</v>
      </c>
      <c r="D79" s="428"/>
      <c r="E79" s="444"/>
      <c r="F79" s="444"/>
      <c r="G79" s="443"/>
      <c r="H79" s="444"/>
    </row>
    <row r="80" spans="2:8" x14ac:dyDescent="0.3">
      <c r="B80" s="389"/>
      <c r="C80" s="389" t="s">
        <v>256</v>
      </c>
      <c r="D80" s="428"/>
      <c r="E80" s="444"/>
      <c r="F80" s="444"/>
      <c r="G80" s="443"/>
      <c r="H80" s="444"/>
    </row>
    <row r="81" spans="2:8" ht="15" thickBot="1" x14ac:dyDescent="0.35">
      <c r="B81" s="393"/>
      <c r="C81" s="394" t="s">
        <v>257</v>
      </c>
      <c r="D81" s="424"/>
      <c r="E81" s="444"/>
      <c r="F81" s="444"/>
      <c r="G81" s="443"/>
      <c r="H81" s="444"/>
    </row>
    <row r="82" spans="2:8" x14ac:dyDescent="0.3">
      <c r="B82" s="389" t="s">
        <v>350</v>
      </c>
      <c r="C82" s="389" t="s">
        <v>255</v>
      </c>
      <c r="D82" s="428"/>
      <c r="E82" s="444"/>
      <c r="F82" s="444"/>
      <c r="G82" s="443"/>
      <c r="H82" s="444"/>
    </row>
    <row r="83" spans="2:8" x14ac:dyDescent="0.3">
      <c r="B83" s="389"/>
      <c r="C83" s="389" t="s">
        <v>256</v>
      </c>
      <c r="D83" s="428"/>
      <c r="E83" s="444"/>
      <c r="F83" s="444"/>
      <c r="G83" s="443"/>
      <c r="H83" s="444"/>
    </row>
    <row r="84" spans="2:8" ht="15" thickBot="1" x14ac:dyDescent="0.35">
      <c r="B84" s="393"/>
      <c r="C84" s="394" t="s">
        <v>257</v>
      </c>
      <c r="D84" s="424"/>
      <c r="E84" s="444"/>
      <c r="F84" s="444"/>
      <c r="G84" s="443"/>
      <c r="H84" s="444"/>
    </row>
    <row r="85" spans="2:8" x14ac:dyDescent="0.3">
      <c r="B85" s="389" t="s">
        <v>351</v>
      </c>
      <c r="C85" s="389" t="s">
        <v>255</v>
      </c>
      <c r="D85" s="428"/>
      <c r="E85" s="444"/>
      <c r="F85" s="444"/>
      <c r="G85" s="443"/>
      <c r="H85" s="444"/>
    </row>
    <row r="86" spans="2:8" x14ac:dyDescent="0.3">
      <c r="B86" s="389"/>
      <c r="C86" s="389" t="s">
        <v>256</v>
      </c>
      <c r="D86" s="428"/>
      <c r="E86" s="444"/>
      <c r="F86" s="444"/>
      <c r="G86" s="443"/>
      <c r="H86" s="444"/>
    </row>
    <row r="87" spans="2:8" ht="15" thickBot="1" x14ac:dyDescent="0.35">
      <c r="B87" s="393"/>
      <c r="C87" s="394" t="s">
        <v>257</v>
      </c>
      <c r="D87" s="424"/>
      <c r="E87" s="444"/>
      <c r="F87" s="444"/>
      <c r="G87" s="443"/>
      <c r="H87" s="444"/>
    </row>
    <row r="88" spans="2:8" x14ac:dyDescent="0.3">
      <c r="B88" s="389" t="s">
        <v>352</v>
      </c>
      <c r="C88" s="389" t="s">
        <v>255</v>
      </c>
      <c r="D88" s="428"/>
      <c r="E88" s="444"/>
      <c r="F88" s="444"/>
      <c r="G88" s="443"/>
      <c r="H88" s="444"/>
    </row>
    <row r="89" spans="2:8" x14ac:dyDescent="0.3">
      <c r="B89" s="389"/>
      <c r="C89" s="389" t="s">
        <v>256</v>
      </c>
      <c r="D89" s="428"/>
      <c r="E89" s="444"/>
      <c r="F89" s="444"/>
      <c r="G89" s="443"/>
      <c r="H89" s="444"/>
    </row>
    <row r="90" spans="2:8" ht="15" thickBot="1" x14ac:dyDescent="0.35">
      <c r="B90" s="393"/>
      <c r="C90" s="394" t="s">
        <v>257</v>
      </c>
      <c r="D90" s="424"/>
      <c r="E90" s="444"/>
      <c r="F90" s="444"/>
      <c r="G90" s="443"/>
      <c r="H90" s="444"/>
    </row>
    <row r="91" spans="2:8" x14ac:dyDescent="0.3">
      <c r="B91" s="389" t="s">
        <v>353</v>
      </c>
      <c r="C91" s="389" t="s">
        <v>255</v>
      </c>
      <c r="D91" s="428"/>
      <c r="E91" s="444"/>
      <c r="F91" s="444"/>
      <c r="G91" s="443"/>
      <c r="H91" s="444"/>
    </row>
    <row r="92" spans="2:8" x14ac:dyDescent="0.3">
      <c r="B92" s="389"/>
      <c r="C92" s="389" t="s">
        <v>256</v>
      </c>
      <c r="D92" s="428"/>
      <c r="E92" s="444"/>
      <c r="F92" s="444"/>
      <c r="G92" s="443"/>
      <c r="H92" s="444"/>
    </row>
    <row r="93" spans="2:8" ht="15" thickBot="1" x14ac:dyDescent="0.35">
      <c r="B93" s="393"/>
      <c r="C93" s="394" t="s">
        <v>257</v>
      </c>
      <c r="D93" s="424"/>
      <c r="E93" s="444"/>
      <c r="F93" s="444"/>
      <c r="G93" s="443"/>
      <c r="H93" s="444"/>
    </row>
    <row r="94" spans="2:8" x14ac:dyDescent="0.3">
      <c r="B94" s="445" t="s">
        <v>258</v>
      </c>
      <c r="C94" s="389" t="s">
        <v>255</v>
      </c>
      <c r="D94" s="428">
        <f>SUM(D49,D52,D55,D58,D64,D67,D61,D79,D70,D73,D76,D82,D85,D88,D91)</f>
        <v>0</v>
      </c>
      <c r="E94" s="444"/>
      <c r="F94" s="444"/>
      <c r="G94" s="443"/>
      <c r="H94" s="444"/>
    </row>
    <row r="95" spans="2:8" x14ac:dyDescent="0.3">
      <c r="B95" s="389"/>
      <c r="C95" s="389" t="s">
        <v>256</v>
      </c>
      <c r="D95" s="428">
        <f>SUM(D50,D53,D56,D59,D65,D68,D62,D80,D71,D74,D77,D83,D86,D89,D92)</f>
        <v>0</v>
      </c>
      <c r="E95" s="444"/>
      <c r="F95" s="444"/>
      <c r="G95" s="443"/>
      <c r="H95" s="444"/>
    </row>
    <row r="96" spans="2:8" ht="15" thickBot="1" x14ac:dyDescent="0.35">
      <c r="B96" s="393"/>
      <c r="C96" s="394" t="s">
        <v>257</v>
      </c>
      <c r="D96" s="424">
        <f>SUM(D51,D54,D57,D60,D66,D69,D63,D81,D72,D75,D78,D84,D87,D90,D93)</f>
        <v>0</v>
      </c>
      <c r="E96" s="444"/>
      <c r="F96" s="444"/>
      <c r="G96" s="443"/>
      <c r="H96" s="444"/>
    </row>
    <row r="97" spans="2:8" ht="15" thickBot="1" x14ac:dyDescent="0.35">
      <c r="E97" s="444"/>
      <c r="F97" s="444"/>
      <c r="G97" s="443"/>
      <c r="H97" s="444"/>
    </row>
    <row r="98" spans="2:8" ht="15" thickBot="1" x14ac:dyDescent="0.35">
      <c r="D98" s="479" t="s">
        <v>259</v>
      </c>
      <c r="E98" s="444"/>
      <c r="F98" s="444"/>
      <c r="G98" s="443"/>
      <c r="H98" s="444"/>
    </row>
    <row r="99" spans="2:8" ht="15" thickBot="1" x14ac:dyDescent="0.35">
      <c r="D99" s="477">
        <v>2024</v>
      </c>
      <c r="E99" s="444"/>
      <c r="F99" s="444"/>
      <c r="G99" s="443"/>
      <c r="H99" s="444"/>
    </row>
    <row r="100" spans="2:8" ht="15" thickBot="1" x14ac:dyDescent="0.35">
      <c r="B100" s="121" t="s">
        <v>223</v>
      </c>
      <c r="C100" s="399" t="s">
        <v>254</v>
      </c>
      <c r="D100" s="478" t="s">
        <v>232</v>
      </c>
      <c r="E100" s="444"/>
      <c r="F100" s="444"/>
      <c r="G100" s="443"/>
      <c r="H100" s="444"/>
    </row>
    <row r="101" spans="2:8" x14ac:dyDescent="0.3">
      <c r="B101" s="389" t="s">
        <v>343</v>
      </c>
      <c r="C101" s="401" t="s">
        <v>260</v>
      </c>
      <c r="D101" s="428"/>
      <c r="E101" s="444"/>
      <c r="F101" s="444"/>
      <c r="G101" s="443"/>
      <c r="H101" s="444"/>
    </row>
    <row r="102" spans="2:8" x14ac:dyDescent="0.3">
      <c r="B102" s="389"/>
      <c r="C102" s="401" t="s">
        <v>261</v>
      </c>
      <c r="D102" s="428"/>
      <c r="E102" s="444"/>
      <c r="F102" s="444"/>
      <c r="G102" s="443"/>
      <c r="H102" s="444"/>
    </row>
    <row r="103" spans="2:8" ht="15" thickBot="1" x14ac:dyDescent="0.35">
      <c r="B103" s="393"/>
      <c r="C103" s="402" t="s">
        <v>257</v>
      </c>
      <c r="D103" s="414"/>
      <c r="E103" s="444"/>
      <c r="F103" s="444"/>
      <c r="G103" s="443"/>
      <c r="H103" s="444"/>
    </row>
    <row r="104" spans="2:8" x14ac:dyDescent="0.3">
      <c r="B104" s="389" t="s">
        <v>7</v>
      </c>
      <c r="C104" s="401" t="s">
        <v>260</v>
      </c>
      <c r="D104" s="428"/>
      <c r="E104" s="444"/>
      <c r="F104" s="444"/>
      <c r="G104" s="443"/>
      <c r="H104" s="444"/>
    </row>
    <row r="105" spans="2:8" x14ac:dyDescent="0.3">
      <c r="B105" s="389"/>
      <c r="C105" s="401" t="s">
        <v>261</v>
      </c>
      <c r="D105" s="428"/>
      <c r="E105" s="444"/>
      <c r="F105" s="444"/>
      <c r="G105" s="443"/>
      <c r="H105" s="444"/>
    </row>
    <row r="106" spans="2:8" ht="15" thickBot="1" x14ac:dyDescent="0.35">
      <c r="B106" s="393"/>
      <c r="C106" s="402" t="s">
        <v>257</v>
      </c>
      <c r="D106" s="414"/>
      <c r="E106" s="444"/>
      <c r="F106" s="444"/>
      <c r="G106" s="443"/>
      <c r="H106" s="444"/>
    </row>
    <row r="107" spans="2:8" x14ac:dyDescent="0.3">
      <c r="B107" s="389" t="s">
        <v>8</v>
      </c>
      <c r="C107" s="401" t="s">
        <v>260</v>
      </c>
      <c r="D107" s="428"/>
      <c r="E107" s="444"/>
      <c r="F107" s="444"/>
      <c r="G107" s="443"/>
      <c r="H107" s="444"/>
    </row>
    <row r="108" spans="2:8" x14ac:dyDescent="0.3">
      <c r="B108" s="389"/>
      <c r="C108" s="401" t="s">
        <v>261</v>
      </c>
      <c r="D108" s="428"/>
      <c r="E108" s="444"/>
      <c r="F108" s="444"/>
      <c r="G108" s="443"/>
      <c r="H108" s="444"/>
    </row>
    <row r="109" spans="2:8" ht="15" thickBot="1" x14ac:dyDescent="0.35">
      <c r="B109" s="393"/>
      <c r="C109" s="402" t="s">
        <v>257</v>
      </c>
      <c r="D109" s="414"/>
      <c r="E109" s="444"/>
      <c r="F109" s="444"/>
      <c r="G109" s="443"/>
      <c r="H109" s="444"/>
    </row>
    <row r="110" spans="2:8" x14ac:dyDescent="0.3">
      <c r="B110" s="389" t="s">
        <v>9</v>
      </c>
      <c r="C110" s="401" t="s">
        <v>260</v>
      </c>
      <c r="D110" s="428"/>
      <c r="E110" s="444"/>
      <c r="F110" s="444"/>
      <c r="G110" s="443"/>
      <c r="H110" s="444"/>
    </row>
    <row r="111" spans="2:8" x14ac:dyDescent="0.3">
      <c r="B111" s="389"/>
      <c r="C111" s="401" t="s">
        <v>261</v>
      </c>
      <c r="D111" s="428"/>
      <c r="E111" s="444"/>
      <c r="F111" s="444"/>
      <c r="G111" s="443"/>
      <c r="H111" s="444"/>
    </row>
    <row r="112" spans="2:8" ht="15" thickBot="1" x14ac:dyDescent="0.35">
      <c r="B112" s="393"/>
      <c r="C112" s="402" t="s">
        <v>257</v>
      </c>
      <c r="D112" s="414"/>
      <c r="E112" s="444"/>
      <c r="F112" s="444"/>
      <c r="G112" s="443"/>
      <c r="H112" s="444"/>
    </row>
    <row r="113" spans="2:8" x14ac:dyDescent="0.3">
      <c r="B113" s="389" t="s">
        <v>335</v>
      </c>
      <c r="C113" s="401" t="s">
        <v>260</v>
      </c>
      <c r="D113" s="428"/>
      <c r="E113" s="444"/>
      <c r="F113" s="444"/>
      <c r="G113" s="443"/>
      <c r="H113" s="444"/>
    </row>
    <row r="114" spans="2:8" x14ac:dyDescent="0.3">
      <c r="B114" s="389"/>
      <c r="C114" s="401" t="s">
        <v>261</v>
      </c>
      <c r="D114" s="428"/>
      <c r="E114" s="444"/>
      <c r="F114" s="444"/>
      <c r="G114" s="443"/>
      <c r="H114" s="444"/>
    </row>
    <row r="115" spans="2:8" ht="15" thickBot="1" x14ac:dyDescent="0.35">
      <c r="B115" s="393"/>
      <c r="C115" s="402" t="s">
        <v>257</v>
      </c>
      <c r="D115" s="414"/>
      <c r="E115" s="444"/>
      <c r="F115" s="444"/>
      <c r="G115" s="443"/>
      <c r="H115" s="444"/>
    </row>
    <row r="116" spans="2:8" x14ac:dyDescent="0.3">
      <c r="B116" s="389" t="s">
        <v>10</v>
      </c>
      <c r="C116" s="401" t="s">
        <v>260</v>
      </c>
      <c r="D116" s="428"/>
      <c r="E116" s="444"/>
      <c r="F116" s="444"/>
      <c r="G116" s="443"/>
      <c r="H116" s="444"/>
    </row>
    <row r="117" spans="2:8" x14ac:dyDescent="0.3">
      <c r="B117" s="389"/>
      <c r="C117" s="401" t="s">
        <v>261</v>
      </c>
      <c r="D117" s="428"/>
      <c r="E117" s="444"/>
      <c r="F117" s="444"/>
      <c r="G117" s="443"/>
      <c r="H117" s="444"/>
    </row>
    <row r="118" spans="2:8" ht="15" thickBot="1" x14ac:dyDescent="0.35">
      <c r="B118" s="393"/>
      <c r="C118" s="402" t="s">
        <v>257</v>
      </c>
      <c r="D118" s="414"/>
      <c r="E118" s="444"/>
      <c r="F118" s="444"/>
      <c r="G118" s="443"/>
      <c r="H118" s="444"/>
    </row>
    <row r="119" spans="2:8" x14ac:dyDescent="0.3">
      <c r="B119" s="389" t="s">
        <v>336</v>
      </c>
      <c r="C119" s="401" t="s">
        <v>260</v>
      </c>
      <c r="D119" s="428"/>
      <c r="E119" s="444"/>
      <c r="F119" s="444"/>
      <c r="G119" s="443"/>
      <c r="H119" s="444"/>
    </row>
    <row r="120" spans="2:8" x14ac:dyDescent="0.3">
      <c r="B120" s="389"/>
      <c r="C120" s="401" t="s">
        <v>261</v>
      </c>
      <c r="D120" s="428"/>
      <c r="E120" s="444"/>
      <c r="F120" s="444"/>
      <c r="G120" s="443"/>
      <c r="H120" s="444"/>
    </row>
    <row r="121" spans="2:8" ht="15" thickBot="1" x14ac:dyDescent="0.35">
      <c r="B121" s="393"/>
      <c r="C121" s="402" t="s">
        <v>257</v>
      </c>
      <c r="D121" s="414"/>
      <c r="E121" s="444"/>
      <c r="F121" s="444"/>
      <c r="G121" s="443"/>
      <c r="H121" s="444"/>
    </row>
    <row r="122" spans="2:8" x14ac:dyDescent="0.3">
      <c r="B122" s="389" t="s">
        <v>349</v>
      </c>
      <c r="C122" s="401" t="s">
        <v>260</v>
      </c>
      <c r="D122" s="428"/>
      <c r="E122" s="444"/>
      <c r="F122" s="444"/>
      <c r="G122" s="443"/>
      <c r="H122" s="444"/>
    </row>
    <row r="123" spans="2:8" x14ac:dyDescent="0.3">
      <c r="B123" s="389"/>
      <c r="C123" s="401" t="s">
        <v>261</v>
      </c>
      <c r="D123" s="428"/>
      <c r="E123" s="444"/>
      <c r="F123" s="444"/>
      <c r="G123" s="443"/>
      <c r="H123" s="444"/>
    </row>
    <row r="124" spans="2:8" ht="15" thickBot="1" x14ac:dyDescent="0.35">
      <c r="B124" s="393"/>
      <c r="C124" s="402" t="s">
        <v>257</v>
      </c>
      <c r="D124" s="424"/>
      <c r="E124" s="444"/>
      <c r="F124" s="444"/>
      <c r="G124" s="443"/>
      <c r="H124" s="444"/>
    </row>
    <row r="125" spans="2:8" x14ac:dyDescent="0.3">
      <c r="B125" s="389" t="s">
        <v>341</v>
      </c>
      <c r="C125" s="401" t="s">
        <v>260</v>
      </c>
      <c r="D125" s="428"/>
      <c r="E125" s="444"/>
      <c r="F125" s="444"/>
      <c r="G125" s="443"/>
      <c r="H125" s="444"/>
    </row>
    <row r="126" spans="2:8" x14ac:dyDescent="0.3">
      <c r="B126" s="389"/>
      <c r="C126" s="401" t="s">
        <v>261</v>
      </c>
      <c r="D126" s="428"/>
      <c r="E126" s="444"/>
      <c r="F126" s="444"/>
      <c r="G126" s="443"/>
      <c r="H126" s="444"/>
    </row>
    <row r="127" spans="2:8" ht="15" thickBot="1" x14ac:dyDescent="0.35">
      <c r="B127" s="393"/>
      <c r="C127" s="402" t="s">
        <v>257</v>
      </c>
      <c r="D127" s="424"/>
      <c r="E127" s="444"/>
      <c r="F127" s="444"/>
      <c r="G127" s="443"/>
      <c r="H127" s="444"/>
    </row>
    <row r="128" spans="2:8" x14ac:dyDescent="0.3">
      <c r="B128" s="389" t="s">
        <v>337</v>
      </c>
      <c r="C128" s="401" t="s">
        <v>260</v>
      </c>
      <c r="D128" s="428"/>
      <c r="E128" s="444"/>
      <c r="F128" s="444"/>
      <c r="G128" s="443"/>
      <c r="H128" s="444"/>
    </row>
    <row r="129" spans="2:8" x14ac:dyDescent="0.3">
      <c r="B129" s="389"/>
      <c r="C129" s="401" t="s">
        <v>261</v>
      </c>
      <c r="D129" s="428"/>
      <c r="E129" s="444"/>
      <c r="F129" s="444"/>
      <c r="G129" s="443"/>
      <c r="H129" s="444"/>
    </row>
    <row r="130" spans="2:8" ht="15" thickBot="1" x14ac:dyDescent="0.35">
      <c r="B130" s="393"/>
      <c r="C130" s="402" t="s">
        <v>257</v>
      </c>
      <c r="D130" s="424"/>
      <c r="E130" s="444"/>
      <c r="F130" s="444"/>
      <c r="G130" s="443"/>
      <c r="H130" s="444"/>
    </row>
    <row r="131" spans="2:8" x14ac:dyDescent="0.3">
      <c r="B131" s="389" t="s">
        <v>11</v>
      </c>
      <c r="C131" s="401" t="s">
        <v>260</v>
      </c>
      <c r="D131" s="428"/>
      <c r="E131" s="444"/>
      <c r="F131" s="444"/>
      <c r="G131" s="443"/>
      <c r="H131" s="444"/>
    </row>
    <row r="132" spans="2:8" x14ac:dyDescent="0.3">
      <c r="B132" s="389"/>
      <c r="C132" s="401" t="s">
        <v>261</v>
      </c>
      <c r="D132" s="428"/>
      <c r="E132" s="444"/>
      <c r="F132" s="444"/>
      <c r="G132" s="443"/>
      <c r="H132" s="444"/>
    </row>
    <row r="133" spans="2:8" ht="15" thickBot="1" x14ac:dyDescent="0.35">
      <c r="B133" s="393"/>
      <c r="C133" s="402" t="s">
        <v>257</v>
      </c>
      <c r="D133" s="424"/>
      <c r="E133" s="444"/>
      <c r="F133" s="444"/>
      <c r="G133" s="443"/>
      <c r="H133" s="444"/>
    </row>
    <row r="134" spans="2:8" x14ac:dyDescent="0.3">
      <c r="B134" s="389" t="s">
        <v>350</v>
      </c>
      <c r="C134" s="401" t="s">
        <v>260</v>
      </c>
      <c r="D134" s="428"/>
      <c r="E134" s="444"/>
      <c r="F134" s="444"/>
      <c r="G134" s="443"/>
      <c r="H134" s="444"/>
    </row>
    <row r="135" spans="2:8" x14ac:dyDescent="0.3">
      <c r="B135" s="389"/>
      <c r="C135" s="401" t="s">
        <v>261</v>
      </c>
      <c r="D135" s="428"/>
      <c r="E135" s="444"/>
      <c r="F135" s="444"/>
      <c r="G135" s="443"/>
      <c r="H135" s="444"/>
    </row>
    <row r="136" spans="2:8" ht="15" thickBot="1" x14ac:dyDescent="0.35">
      <c r="B136" s="393"/>
      <c r="C136" s="402" t="s">
        <v>257</v>
      </c>
      <c r="D136" s="424"/>
      <c r="E136" s="444"/>
      <c r="F136" s="444"/>
      <c r="G136" s="443"/>
      <c r="H136" s="444"/>
    </row>
    <row r="137" spans="2:8" x14ac:dyDescent="0.3">
      <c r="B137" s="389" t="s">
        <v>351</v>
      </c>
      <c r="C137" s="401" t="s">
        <v>260</v>
      </c>
      <c r="D137" s="428"/>
      <c r="E137" s="444"/>
      <c r="F137" s="444"/>
      <c r="G137" s="443"/>
      <c r="H137" s="444"/>
    </row>
    <row r="138" spans="2:8" x14ac:dyDescent="0.3">
      <c r="B138" s="389"/>
      <c r="C138" s="401" t="s">
        <v>261</v>
      </c>
      <c r="D138" s="428"/>
      <c r="E138" s="444"/>
      <c r="F138" s="444"/>
      <c r="G138" s="443"/>
      <c r="H138" s="444"/>
    </row>
    <row r="139" spans="2:8" ht="15" thickBot="1" x14ac:dyDescent="0.35">
      <c r="B139" s="393"/>
      <c r="C139" s="402" t="s">
        <v>257</v>
      </c>
      <c r="D139" s="424"/>
      <c r="E139" s="444"/>
      <c r="F139" s="444"/>
      <c r="G139" s="443"/>
      <c r="H139" s="444"/>
    </row>
    <row r="140" spans="2:8" x14ac:dyDescent="0.3">
      <c r="B140" s="389" t="s">
        <v>352</v>
      </c>
      <c r="C140" s="401" t="s">
        <v>260</v>
      </c>
      <c r="D140" s="428"/>
      <c r="E140" s="444"/>
      <c r="F140" s="444"/>
      <c r="G140" s="443"/>
      <c r="H140" s="444"/>
    </row>
    <row r="141" spans="2:8" x14ac:dyDescent="0.3">
      <c r="B141" s="389"/>
      <c r="C141" s="401" t="s">
        <v>261</v>
      </c>
      <c r="D141" s="428"/>
      <c r="E141" s="444"/>
      <c r="F141" s="444"/>
      <c r="G141" s="443"/>
      <c r="H141" s="444"/>
    </row>
    <row r="142" spans="2:8" ht="15" thickBot="1" x14ac:dyDescent="0.35">
      <c r="B142" s="393"/>
      <c r="C142" s="402" t="s">
        <v>257</v>
      </c>
      <c r="D142" s="424"/>
      <c r="E142" s="444"/>
      <c r="F142" s="444"/>
      <c r="G142" s="443"/>
      <c r="H142" s="444"/>
    </row>
    <row r="143" spans="2:8" x14ac:dyDescent="0.3">
      <c r="B143" s="389" t="s">
        <v>353</v>
      </c>
      <c r="C143" s="401" t="s">
        <v>260</v>
      </c>
      <c r="D143" s="428"/>
      <c r="E143" s="444"/>
      <c r="F143" s="444"/>
      <c r="G143" s="443"/>
      <c r="H143" s="444"/>
    </row>
    <row r="144" spans="2:8" x14ac:dyDescent="0.3">
      <c r="B144" s="389"/>
      <c r="C144" s="401" t="s">
        <v>261</v>
      </c>
      <c r="D144" s="428"/>
      <c r="E144" s="444"/>
      <c r="F144" s="444"/>
      <c r="G144" s="443"/>
      <c r="H144" s="444"/>
    </row>
    <row r="145" spans="2:8" ht="15" thickBot="1" x14ac:dyDescent="0.35">
      <c r="B145" s="393"/>
      <c r="C145" s="402" t="s">
        <v>257</v>
      </c>
      <c r="D145" s="424"/>
      <c r="E145" s="444"/>
      <c r="F145" s="444"/>
      <c r="G145" s="443"/>
      <c r="H145" s="444"/>
    </row>
    <row r="146" spans="2:8" x14ac:dyDescent="0.3">
      <c r="B146" s="446" t="s">
        <v>258</v>
      </c>
      <c r="C146" s="389" t="s">
        <v>255</v>
      </c>
      <c r="D146" s="428">
        <f>SUM(D101,D104,D107,D110,D113,D116,D119,D122,D125,D128,D131,D134,D137,D140,D143)</f>
        <v>0</v>
      </c>
      <c r="E146" s="444"/>
      <c r="F146" s="444"/>
      <c r="G146" s="443"/>
      <c r="H146" s="444"/>
    </row>
    <row r="147" spans="2:8" x14ac:dyDescent="0.3">
      <c r="B147" s="389"/>
      <c r="C147" s="389" t="s">
        <v>256</v>
      </c>
      <c r="D147" s="428">
        <f>SUM(D102,D105,D108,D111,D114,D117,D120,D123,D126,D129,D132,D135,D138,D141,D144)</f>
        <v>0</v>
      </c>
      <c r="E147" s="444"/>
      <c r="F147" s="444"/>
      <c r="G147" s="443"/>
      <c r="H147" s="444"/>
    </row>
    <row r="148" spans="2:8" ht="15" thickBot="1" x14ac:dyDescent="0.35">
      <c r="B148" s="393"/>
      <c r="C148" s="394" t="s">
        <v>257</v>
      </c>
      <c r="D148" s="424">
        <f>SUM(D103,D106,D109,D112,D115,D118,D121,D124,D127,D130,D133,D136,D139,D142,D145)</f>
        <v>0</v>
      </c>
      <c r="E148" s="444"/>
      <c r="F148" s="444"/>
      <c r="G148" s="443"/>
      <c r="H148" s="444"/>
    </row>
    <row r="149" spans="2:8" x14ac:dyDescent="0.3">
      <c r="E149" s="444"/>
      <c r="F149" s="444"/>
      <c r="G149" s="443"/>
      <c r="H149" s="444"/>
    </row>
    <row r="150" spans="2:8" ht="15" thickBot="1" x14ac:dyDescent="0.35">
      <c r="E150" s="444"/>
      <c r="F150" s="444"/>
      <c r="G150" s="443"/>
      <c r="H150" s="444"/>
    </row>
    <row r="151" spans="2:8" ht="15" thickBot="1" x14ac:dyDescent="0.35">
      <c r="D151" s="479" t="s">
        <v>262</v>
      </c>
      <c r="E151" s="444"/>
      <c r="F151" s="444"/>
      <c r="G151" s="443"/>
      <c r="H151" s="444"/>
    </row>
    <row r="152" spans="2:8" ht="15" thickBot="1" x14ac:dyDescent="0.35">
      <c r="D152" s="477">
        <v>2024</v>
      </c>
      <c r="E152" s="444"/>
      <c r="F152" s="444"/>
      <c r="G152" s="443"/>
      <c r="H152" s="444"/>
    </row>
    <row r="153" spans="2:8" ht="15" thickBot="1" x14ac:dyDescent="0.35">
      <c r="C153" s="447" t="s">
        <v>223</v>
      </c>
      <c r="D153" s="478" t="s">
        <v>232</v>
      </c>
      <c r="E153" s="444"/>
      <c r="F153" s="444"/>
      <c r="G153" s="443"/>
      <c r="H153" s="444"/>
    </row>
    <row r="154" spans="2:8" x14ac:dyDescent="0.3">
      <c r="C154" s="389" t="s">
        <v>343</v>
      </c>
      <c r="D154" s="427">
        <f>SUM(D51,D103)</f>
        <v>0</v>
      </c>
      <c r="E154" s="444"/>
      <c r="F154" s="444"/>
      <c r="G154" s="443"/>
      <c r="H154" s="444"/>
    </row>
    <row r="155" spans="2:8" x14ac:dyDescent="0.3">
      <c r="C155" s="389" t="s">
        <v>7</v>
      </c>
      <c r="D155" s="428">
        <f>SUM(D54,D106)</f>
        <v>0</v>
      </c>
      <c r="E155" s="444"/>
      <c r="F155" s="444"/>
      <c r="G155" s="443"/>
      <c r="H155" s="444"/>
    </row>
    <row r="156" spans="2:8" x14ac:dyDescent="0.3">
      <c r="C156" s="389" t="s">
        <v>8</v>
      </c>
      <c r="D156" s="428">
        <f t="shared" ref="D156:D168" si="12">SUM(D55,D107)</f>
        <v>0</v>
      </c>
      <c r="E156" s="444"/>
      <c r="F156" s="444"/>
      <c r="G156" s="443"/>
      <c r="H156" s="444"/>
    </row>
    <row r="157" spans="2:8" ht="28.8" x14ac:dyDescent="0.3">
      <c r="C157" s="448" t="s">
        <v>9</v>
      </c>
      <c r="D157" s="428">
        <f t="shared" si="12"/>
        <v>0</v>
      </c>
      <c r="E157" s="444"/>
      <c r="F157" s="444"/>
      <c r="G157" s="443"/>
      <c r="H157" s="444"/>
    </row>
    <row r="158" spans="2:8" x14ac:dyDescent="0.3">
      <c r="C158" s="389" t="s">
        <v>335</v>
      </c>
      <c r="D158" s="428">
        <f t="shared" si="12"/>
        <v>0</v>
      </c>
      <c r="E158" s="444"/>
      <c r="F158" s="444"/>
      <c r="G158" s="443"/>
      <c r="H158" s="444"/>
    </row>
    <row r="159" spans="2:8" x14ac:dyDescent="0.3">
      <c r="C159" s="389" t="s">
        <v>10</v>
      </c>
      <c r="D159" s="428">
        <f t="shared" si="12"/>
        <v>0</v>
      </c>
      <c r="E159" s="444"/>
      <c r="F159" s="444"/>
      <c r="G159" s="443"/>
      <c r="H159" s="444"/>
    </row>
    <row r="160" spans="2:8" x14ac:dyDescent="0.3">
      <c r="C160" s="389" t="s">
        <v>336</v>
      </c>
      <c r="D160" s="428">
        <f t="shared" si="12"/>
        <v>0</v>
      </c>
      <c r="E160" s="444"/>
      <c r="F160" s="444"/>
      <c r="G160" s="443"/>
      <c r="H160" s="444"/>
    </row>
    <row r="161" spans="3:8" x14ac:dyDescent="0.3">
      <c r="C161" s="389" t="s">
        <v>349</v>
      </c>
      <c r="D161" s="428">
        <f t="shared" si="12"/>
        <v>0</v>
      </c>
      <c r="E161" s="444"/>
      <c r="F161" s="444"/>
      <c r="G161" s="443"/>
      <c r="H161" s="444"/>
    </row>
    <row r="162" spans="3:8" x14ac:dyDescent="0.3">
      <c r="C162" s="389" t="s">
        <v>341</v>
      </c>
      <c r="D162" s="428">
        <f t="shared" si="12"/>
        <v>0</v>
      </c>
      <c r="E162" s="444"/>
      <c r="F162" s="444"/>
      <c r="G162" s="443"/>
      <c r="H162" s="444"/>
    </row>
    <row r="163" spans="3:8" x14ac:dyDescent="0.3">
      <c r="C163" s="389" t="s">
        <v>337</v>
      </c>
      <c r="D163" s="428">
        <f t="shared" si="12"/>
        <v>0</v>
      </c>
      <c r="E163" s="444"/>
      <c r="F163" s="444"/>
      <c r="G163" s="443"/>
      <c r="H163" s="444"/>
    </row>
    <row r="164" spans="3:8" x14ac:dyDescent="0.3">
      <c r="C164" s="389" t="s">
        <v>11</v>
      </c>
      <c r="D164" s="428">
        <f t="shared" si="12"/>
        <v>0</v>
      </c>
      <c r="E164" s="444"/>
      <c r="F164" s="444"/>
      <c r="G164" s="443"/>
      <c r="H164" s="444"/>
    </row>
    <row r="165" spans="3:8" x14ac:dyDescent="0.3">
      <c r="C165" s="389" t="s">
        <v>350</v>
      </c>
      <c r="D165" s="428">
        <f t="shared" si="12"/>
        <v>0</v>
      </c>
      <c r="E165" s="444"/>
      <c r="F165" s="444"/>
      <c r="G165" s="443"/>
      <c r="H165" s="444"/>
    </row>
    <row r="166" spans="3:8" x14ac:dyDescent="0.3">
      <c r="C166" s="389" t="s">
        <v>351</v>
      </c>
      <c r="D166" s="428">
        <f t="shared" si="12"/>
        <v>0</v>
      </c>
      <c r="E166" s="444"/>
      <c r="F166" s="444"/>
      <c r="G166" s="443"/>
      <c r="H166" s="444"/>
    </row>
    <row r="167" spans="3:8" x14ac:dyDescent="0.3">
      <c r="C167" s="389" t="s">
        <v>352</v>
      </c>
      <c r="D167" s="428">
        <f t="shared" si="12"/>
        <v>0</v>
      </c>
      <c r="E167" s="444"/>
      <c r="F167" s="444"/>
      <c r="G167" s="443"/>
      <c r="H167" s="444"/>
    </row>
    <row r="168" spans="3:8" x14ac:dyDescent="0.3">
      <c r="C168" s="389" t="s">
        <v>353</v>
      </c>
      <c r="D168" s="428">
        <f t="shared" si="12"/>
        <v>0</v>
      </c>
      <c r="E168" s="444"/>
      <c r="F168" s="444"/>
      <c r="G168" s="443"/>
      <c r="H168" s="444"/>
    </row>
    <row r="169" spans="3:8" ht="15" thickBot="1" x14ac:dyDescent="0.35">
      <c r="C169" s="394" t="s">
        <v>258</v>
      </c>
      <c r="D169" s="480">
        <f>SUM(D154:D168)</f>
        <v>0</v>
      </c>
      <c r="E169" s="444"/>
      <c r="F169" s="444"/>
      <c r="G169" s="443"/>
      <c r="H169" s="444"/>
    </row>
    <row r="170" spans="3:8" x14ac:dyDescent="0.3">
      <c r="E170" s="444"/>
      <c r="F170" s="444"/>
      <c r="G170" s="443"/>
      <c r="H170" s="444"/>
    </row>
  </sheetData>
  <autoFilter ref="B8:L30" xr:uid="{00000000-0009-0000-0000-00000F000000}"/>
  <mergeCells count="6">
    <mergeCell ref="D6:L6"/>
    <mergeCell ref="D7:F7"/>
    <mergeCell ref="G7:I7"/>
    <mergeCell ref="J7:L7"/>
    <mergeCell ref="M6:O6"/>
    <mergeCell ref="M7:O7"/>
  </mergeCells>
  <printOptions gridLines="1"/>
  <pageMargins left="0.7" right="0.7" top="0.75" bottom="0.75" header="0.3" footer="0.3"/>
  <pageSetup scale="2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U170"/>
  <sheetViews>
    <sheetView tabSelected="1" zoomScaleNormal="100" workbookViewId="0">
      <selection activeCell="S57" sqref="S57"/>
    </sheetView>
  </sheetViews>
  <sheetFormatPr defaultColWidth="9.109375" defaultRowHeight="14.4" x14ac:dyDescent="0.3"/>
  <cols>
    <col min="1" max="1" width="23.33203125" style="123" customWidth="1"/>
    <col min="2" max="2" width="56.5546875" style="123" customWidth="1"/>
    <col min="3" max="3" width="29" style="123" bestFit="1" customWidth="1"/>
    <col min="4" max="9" width="26.33203125" style="123" customWidth="1"/>
    <col min="10" max="12" width="21.44140625" style="123" customWidth="1"/>
    <col min="13" max="17" width="9.6640625" style="123" customWidth="1"/>
    <col min="18" max="19" width="10.6640625" style="123" customWidth="1"/>
    <col min="20" max="16384" width="9.109375" style="123"/>
  </cols>
  <sheetData>
    <row r="1" spans="1:18" x14ac:dyDescent="0.3">
      <c r="A1" s="59" t="s">
        <v>242</v>
      </c>
      <c r="B1" s="59" t="s">
        <v>347</v>
      </c>
      <c r="D1" s="250" t="s">
        <v>2</v>
      </c>
      <c r="E1" s="250" t="s">
        <v>69</v>
      </c>
      <c r="G1" s="56"/>
      <c r="H1" s="56"/>
      <c r="I1" s="56"/>
      <c r="J1" s="56"/>
      <c r="K1" s="56"/>
      <c r="L1" s="56"/>
    </row>
    <row r="2" spans="1:18" x14ac:dyDescent="0.3">
      <c r="A2" s="59"/>
      <c r="B2" s="56"/>
      <c r="D2" s="250" t="s">
        <v>4</v>
      </c>
      <c r="E2" s="265">
        <v>2025</v>
      </c>
      <c r="G2" s="56"/>
      <c r="H2" s="56"/>
      <c r="I2" s="56"/>
      <c r="J2" s="56"/>
      <c r="K2" s="56"/>
      <c r="L2" s="56"/>
    </row>
    <row r="3" spans="1:18" x14ac:dyDescent="0.3">
      <c r="A3" s="72"/>
      <c r="B3" s="72"/>
      <c r="C3" s="72"/>
      <c r="D3" s="72"/>
      <c r="E3" s="72"/>
      <c r="G3" s="72"/>
      <c r="H3" s="72"/>
      <c r="I3" s="72"/>
      <c r="J3" s="72"/>
      <c r="K3" s="72"/>
      <c r="L3" s="72"/>
    </row>
    <row r="4" spans="1:18" x14ac:dyDescent="0.3">
      <c r="A4" s="340" t="s">
        <v>243</v>
      </c>
      <c r="B4" s="57"/>
      <c r="C4" s="57"/>
      <c r="D4" s="57"/>
      <c r="E4" s="57"/>
      <c r="G4" s="57"/>
      <c r="H4" s="57"/>
      <c r="I4" s="57"/>
      <c r="J4" s="57"/>
      <c r="K4" s="57"/>
      <c r="L4" s="113"/>
      <c r="M4" s="130"/>
      <c r="N4" s="130"/>
      <c r="O4" s="130"/>
      <c r="P4" s="130"/>
      <c r="Q4" s="130"/>
    </row>
    <row r="5" spans="1:18" ht="15" thickBot="1" x14ac:dyDescent="0.35">
      <c r="A5" s="418" t="s">
        <v>222</v>
      </c>
      <c r="B5" s="57"/>
      <c r="C5" s="57"/>
      <c r="D5" s="57"/>
      <c r="E5" s="57"/>
      <c r="G5" s="57"/>
      <c r="H5" s="57"/>
      <c r="I5" s="57"/>
      <c r="J5" s="57"/>
      <c r="K5" s="57"/>
      <c r="L5" s="113"/>
      <c r="M5" s="130"/>
      <c r="N5" s="130"/>
      <c r="O5" s="130"/>
      <c r="P5" s="130"/>
      <c r="Q5" s="130"/>
    </row>
    <row r="6" spans="1:18" ht="15" thickBot="1" x14ac:dyDescent="0.35">
      <c r="A6" s="418"/>
      <c r="B6" s="418"/>
      <c r="C6" s="418"/>
      <c r="D6" s="968">
        <v>2025</v>
      </c>
      <c r="E6" s="969"/>
      <c r="F6" s="969"/>
      <c r="G6" s="969"/>
      <c r="H6" s="969"/>
      <c r="I6" s="969"/>
      <c r="J6" s="969"/>
      <c r="K6" s="969"/>
      <c r="L6" s="970"/>
      <c r="M6" s="2"/>
      <c r="N6" s="2"/>
      <c r="O6" s="2"/>
      <c r="P6" s="2"/>
      <c r="Q6" s="2"/>
    </row>
    <row r="7" spans="1:18" ht="15" thickBot="1" x14ac:dyDescent="0.35">
      <c r="A7" s="418"/>
      <c r="B7" s="418"/>
      <c r="C7" s="418"/>
      <c r="D7" s="971" t="s">
        <v>231</v>
      </c>
      <c r="E7" s="972"/>
      <c r="F7" s="973"/>
      <c r="G7" s="974" t="s">
        <v>232</v>
      </c>
      <c r="H7" s="975"/>
      <c r="I7" s="976"/>
      <c r="J7" s="977" t="s">
        <v>233</v>
      </c>
      <c r="K7" s="978"/>
      <c r="L7" s="979"/>
      <c r="M7" s="2"/>
      <c r="N7" s="2"/>
      <c r="O7" s="2"/>
      <c r="P7" s="2"/>
      <c r="Q7" s="2"/>
    </row>
    <row r="8" spans="1:18" ht="43.8" thickBot="1" x14ac:dyDescent="0.35">
      <c r="A8" s="440" t="s">
        <v>2</v>
      </c>
      <c r="B8" s="441" t="s">
        <v>223</v>
      </c>
      <c r="C8" s="442" t="s">
        <v>224</v>
      </c>
      <c r="D8" s="268" t="s">
        <v>234</v>
      </c>
      <c r="E8" s="267" t="s">
        <v>235</v>
      </c>
      <c r="F8" s="269" t="s">
        <v>236</v>
      </c>
      <c r="G8" s="268" t="s">
        <v>225</v>
      </c>
      <c r="H8" s="267" t="s">
        <v>226</v>
      </c>
      <c r="I8" s="269" t="s">
        <v>227</v>
      </c>
      <c r="J8" s="268" t="s">
        <v>237</v>
      </c>
      <c r="K8" s="267" t="s">
        <v>238</v>
      </c>
      <c r="L8" s="449" t="s">
        <v>239</v>
      </c>
      <c r="M8" s="2"/>
      <c r="N8" s="2"/>
      <c r="O8" s="2"/>
      <c r="P8" s="2"/>
      <c r="Q8" s="2"/>
    </row>
    <row r="9" spans="1:18" ht="15.6" x14ac:dyDescent="0.3">
      <c r="A9" s="44" t="str">
        <f>$E$1</f>
        <v>Unitil</v>
      </c>
      <c r="B9" s="450" t="s">
        <v>355</v>
      </c>
      <c r="C9" s="453" t="s">
        <v>361</v>
      </c>
      <c r="D9" s="272"/>
      <c r="E9" s="270"/>
      <c r="F9" s="271"/>
      <c r="G9" s="272"/>
      <c r="H9" s="270"/>
      <c r="I9" s="271"/>
      <c r="J9" s="374">
        <f>IFERROR(((G9-D9)/D9),0)</f>
        <v>0</v>
      </c>
      <c r="K9" s="375">
        <f t="shared" ref="K9:L25" si="0">IFERROR(((H9-E9)/E9),0)</f>
        <v>0</v>
      </c>
      <c r="L9" s="376">
        <f t="shared" si="0"/>
        <v>0</v>
      </c>
      <c r="R9" s="110"/>
    </row>
    <row r="10" spans="1:18" ht="15.6" x14ac:dyDescent="0.3">
      <c r="A10" s="45" t="str">
        <f t="shared" ref="A10:A42" si="1">$E$1</f>
        <v>Unitil</v>
      </c>
      <c r="B10" s="451" t="s">
        <v>355</v>
      </c>
      <c r="C10" s="454" t="s">
        <v>356</v>
      </c>
      <c r="D10" s="273"/>
      <c r="E10" s="274"/>
      <c r="F10" s="275"/>
      <c r="G10" s="273"/>
      <c r="H10" s="274"/>
      <c r="I10" s="275"/>
      <c r="J10" s="377">
        <f t="shared" ref="J10:L26" si="2">IFERROR(((G10-D10)/D10),0)</f>
        <v>0</v>
      </c>
      <c r="K10" s="378">
        <f t="shared" si="0"/>
        <v>0</v>
      </c>
      <c r="L10" s="379">
        <f t="shared" si="0"/>
        <v>0</v>
      </c>
      <c r="R10" s="110"/>
    </row>
    <row r="11" spans="1:18" ht="15.6" x14ac:dyDescent="0.3">
      <c r="A11" s="45" t="str">
        <f t="shared" si="1"/>
        <v>Unitil</v>
      </c>
      <c r="B11" s="451" t="s">
        <v>355</v>
      </c>
      <c r="C11" s="454" t="s">
        <v>364</v>
      </c>
      <c r="D11" s="456"/>
      <c r="E11" s="457"/>
      <c r="F11" s="458"/>
      <c r="G11" s="456"/>
      <c r="H11" s="457"/>
      <c r="I11" s="458"/>
      <c r="J11" s="459">
        <f t="shared" si="2"/>
        <v>0</v>
      </c>
      <c r="K11" s="460">
        <f t="shared" si="0"/>
        <v>0</v>
      </c>
      <c r="L11" s="461">
        <f t="shared" si="0"/>
        <v>0</v>
      </c>
      <c r="R11" s="110"/>
    </row>
    <row r="12" spans="1:18" ht="15.6" x14ac:dyDescent="0.3">
      <c r="A12" s="45" t="str">
        <f t="shared" si="1"/>
        <v>Unitil</v>
      </c>
      <c r="B12" s="451" t="s">
        <v>355</v>
      </c>
      <c r="C12" s="454" t="s">
        <v>365</v>
      </c>
      <c r="D12" s="456"/>
      <c r="E12" s="457"/>
      <c r="F12" s="458"/>
      <c r="G12" s="456"/>
      <c r="H12" s="457"/>
      <c r="I12" s="458"/>
      <c r="J12" s="459">
        <f t="shared" si="2"/>
        <v>0</v>
      </c>
      <c r="K12" s="460">
        <f t="shared" si="0"/>
        <v>0</v>
      </c>
      <c r="L12" s="461">
        <f t="shared" si="0"/>
        <v>0</v>
      </c>
      <c r="R12" s="110"/>
    </row>
    <row r="13" spans="1:18" ht="15.6" x14ac:dyDescent="0.3">
      <c r="A13" s="45" t="str">
        <f t="shared" si="1"/>
        <v>Unitil</v>
      </c>
      <c r="B13" s="451" t="s">
        <v>366</v>
      </c>
      <c r="C13" s="454" t="s">
        <v>367</v>
      </c>
      <c r="D13" s="456"/>
      <c r="E13" s="457"/>
      <c r="F13" s="458"/>
      <c r="G13" s="456"/>
      <c r="H13" s="457"/>
      <c r="I13" s="458"/>
      <c r="J13" s="459">
        <f t="shared" si="2"/>
        <v>0</v>
      </c>
      <c r="K13" s="460">
        <f t="shared" si="0"/>
        <v>0</v>
      </c>
      <c r="L13" s="461">
        <f t="shared" si="0"/>
        <v>0</v>
      </c>
      <c r="O13" s="13"/>
      <c r="R13" s="110"/>
    </row>
    <row r="14" spans="1:18" ht="15.6" x14ac:dyDescent="0.3">
      <c r="A14" s="45" t="str">
        <f t="shared" si="1"/>
        <v>Unitil</v>
      </c>
      <c r="B14" s="451" t="s">
        <v>7</v>
      </c>
      <c r="C14" s="454" t="s">
        <v>368</v>
      </c>
      <c r="D14" s="456"/>
      <c r="E14" s="457"/>
      <c r="F14" s="458"/>
      <c r="G14" s="456"/>
      <c r="H14" s="457"/>
      <c r="I14" s="458"/>
      <c r="J14" s="459">
        <f t="shared" si="2"/>
        <v>0</v>
      </c>
      <c r="K14" s="460">
        <f t="shared" si="0"/>
        <v>0</v>
      </c>
      <c r="L14" s="461">
        <f t="shared" si="0"/>
        <v>0</v>
      </c>
      <c r="P14" s="12"/>
      <c r="R14" s="110"/>
    </row>
    <row r="15" spans="1:18" ht="15.6" x14ac:dyDescent="0.3">
      <c r="A15" s="45" t="str">
        <f t="shared" si="1"/>
        <v>Unitil</v>
      </c>
      <c r="B15" s="451" t="s">
        <v>7</v>
      </c>
      <c r="C15" s="454" t="s">
        <v>369</v>
      </c>
      <c r="D15" s="456"/>
      <c r="E15" s="457"/>
      <c r="F15" s="458"/>
      <c r="G15" s="456"/>
      <c r="H15" s="457"/>
      <c r="I15" s="458"/>
      <c r="J15" s="459">
        <f t="shared" si="2"/>
        <v>0</v>
      </c>
      <c r="K15" s="460">
        <f t="shared" si="0"/>
        <v>0</v>
      </c>
      <c r="L15" s="461">
        <f t="shared" si="0"/>
        <v>0</v>
      </c>
      <c r="R15" s="110"/>
    </row>
    <row r="16" spans="1:18" ht="15.6" x14ac:dyDescent="0.3">
      <c r="A16" s="45" t="str">
        <f t="shared" si="1"/>
        <v>Unitil</v>
      </c>
      <c r="B16" s="451" t="s">
        <v>7</v>
      </c>
      <c r="C16" s="454" t="s">
        <v>367</v>
      </c>
      <c r="D16" s="456"/>
      <c r="E16" s="457"/>
      <c r="F16" s="458"/>
      <c r="G16" s="456"/>
      <c r="H16" s="457"/>
      <c r="I16" s="458"/>
      <c r="J16" s="459">
        <f t="shared" si="2"/>
        <v>0</v>
      </c>
      <c r="K16" s="460">
        <f t="shared" si="0"/>
        <v>0</v>
      </c>
      <c r="L16" s="461">
        <f t="shared" si="0"/>
        <v>0</v>
      </c>
      <c r="R16" s="110"/>
    </row>
    <row r="17" spans="1:21" ht="15.6" x14ac:dyDescent="0.3">
      <c r="A17" s="45" t="str">
        <f t="shared" si="1"/>
        <v>Unitil</v>
      </c>
      <c r="B17" s="451" t="s">
        <v>7</v>
      </c>
      <c r="C17" s="454" t="s">
        <v>382</v>
      </c>
      <c r="D17" s="456"/>
      <c r="E17" s="457"/>
      <c r="F17" s="458"/>
      <c r="G17" s="456"/>
      <c r="H17" s="457"/>
      <c r="I17" s="458"/>
      <c r="J17" s="459">
        <f t="shared" ref="J17" si="3">IFERROR(((G17-D17)/D17),0)</f>
        <v>0</v>
      </c>
      <c r="K17" s="460">
        <f t="shared" ref="K17" si="4">IFERROR(((H17-E17)/E17),0)</f>
        <v>0</v>
      </c>
      <c r="L17" s="461">
        <f t="shared" ref="L17" si="5">IFERROR(((I17-F17)/F17),0)</f>
        <v>0</v>
      </c>
      <c r="R17" s="110"/>
    </row>
    <row r="18" spans="1:21" ht="15.6" x14ac:dyDescent="0.3">
      <c r="A18" s="45" t="str">
        <f t="shared" si="1"/>
        <v>Unitil</v>
      </c>
      <c r="B18" s="451" t="s">
        <v>8</v>
      </c>
      <c r="C18" s="454" t="s">
        <v>370</v>
      </c>
      <c r="D18" s="456"/>
      <c r="E18" s="457"/>
      <c r="F18" s="458"/>
      <c r="G18" s="456"/>
      <c r="H18" s="457"/>
      <c r="I18" s="458"/>
      <c r="J18" s="459">
        <f t="shared" si="2"/>
        <v>0</v>
      </c>
      <c r="K18" s="460">
        <f t="shared" si="0"/>
        <v>0</v>
      </c>
      <c r="L18" s="461">
        <f t="shared" si="0"/>
        <v>0</v>
      </c>
      <c r="R18" s="110"/>
    </row>
    <row r="19" spans="1:21" ht="15.6" x14ac:dyDescent="0.3">
      <c r="A19" s="45" t="str">
        <f t="shared" si="1"/>
        <v>Unitil</v>
      </c>
      <c r="B19" s="451" t="s">
        <v>8</v>
      </c>
      <c r="C19" s="454" t="s">
        <v>371</v>
      </c>
      <c r="D19" s="456"/>
      <c r="E19" s="457"/>
      <c r="F19" s="458"/>
      <c r="G19" s="456"/>
      <c r="H19" s="457"/>
      <c r="I19" s="458"/>
      <c r="J19" s="459">
        <f t="shared" si="2"/>
        <v>0</v>
      </c>
      <c r="K19" s="460">
        <f t="shared" si="0"/>
        <v>0</v>
      </c>
      <c r="L19" s="461">
        <f t="shared" si="0"/>
        <v>0</v>
      </c>
      <c r="R19" s="110"/>
    </row>
    <row r="20" spans="1:21" ht="15.6" x14ac:dyDescent="0.3">
      <c r="A20" s="45" t="str">
        <f t="shared" si="1"/>
        <v>Unitil</v>
      </c>
      <c r="B20" s="451" t="s">
        <v>8</v>
      </c>
      <c r="C20" s="454" t="s">
        <v>372</v>
      </c>
      <c r="D20" s="481"/>
      <c r="E20" s="482"/>
      <c r="F20" s="483"/>
      <c r="G20" s="481"/>
      <c r="H20" s="482"/>
      <c r="I20" s="483"/>
      <c r="J20" s="484">
        <f t="shared" si="2"/>
        <v>0</v>
      </c>
      <c r="K20" s="485">
        <f t="shared" si="0"/>
        <v>0</v>
      </c>
      <c r="L20" s="486">
        <f t="shared" si="0"/>
        <v>0</v>
      </c>
      <c r="M20" s="72"/>
      <c r="N20" s="72"/>
      <c r="O20" s="72"/>
      <c r="P20" s="72"/>
      <c r="Q20" s="72"/>
      <c r="R20" s="487"/>
      <c r="S20" s="72"/>
      <c r="T20" s="72"/>
      <c r="U20" s="72"/>
    </row>
    <row r="21" spans="1:21" ht="15.6" x14ac:dyDescent="0.3">
      <c r="A21" s="45" t="str">
        <f t="shared" si="1"/>
        <v>Unitil</v>
      </c>
      <c r="B21" s="451" t="s">
        <v>8</v>
      </c>
      <c r="C21" s="454" t="s">
        <v>373</v>
      </c>
      <c r="D21" s="273"/>
      <c r="E21" s="274"/>
      <c r="F21" s="275"/>
      <c r="G21" s="273"/>
      <c r="H21" s="274"/>
      <c r="I21" s="275"/>
      <c r="J21" s="377">
        <f t="shared" si="2"/>
        <v>0</v>
      </c>
      <c r="K21" s="378">
        <f t="shared" si="0"/>
        <v>0</v>
      </c>
      <c r="L21" s="379">
        <f t="shared" si="0"/>
        <v>0</v>
      </c>
      <c r="R21" s="110"/>
    </row>
    <row r="22" spans="1:21" ht="15.6" x14ac:dyDescent="0.3">
      <c r="A22" s="45" t="str">
        <f t="shared" si="1"/>
        <v>Unitil</v>
      </c>
      <c r="B22" s="451" t="s">
        <v>8</v>
      </c>
      <c r="C22" s="454" t="s">
        <v>374</v>
      </c>
      <c r="D22" s="273"/>
      <c r="E22" s="274"/>
      <c r="F22" s="275"/>
      <c r="G22" s="273"/>
      <c r="H22" s="274"/>
      <c r="I22" s="275"/>
      <c r="J22" s="377">
        <f t="shared" si="2"/>
        <v>0</v>
      </c>
      <c r="K22" s="378">
        <f t="shared" si="0"/>
        <v>0</v>
      </c>
      <c r="L22" s="379">
        <f t="shared" si="0"/>
        <v>0</v>
      </c>
      <c r="R22" s="110"/>
    </row>
    <row r="23" spans="1:21" ht="15.6" x14ac:dyDescent="0.3">
      <c r="A23" s="45" t="str">
        <f t="shared" si="1"/>
        <v>Unitil</v>
      </c>
      <c r="B23" s="451" t="s">
        <v>8</v>
      </c>
      <c r="C23" s="454" t="s">
        <v>375</v>
      </c>
      <c r="D23" s="273"/>
      <c r="E23" s="274"/>
      <c r="F23" s="275"/>
      <c r="G23" s="273"/>
      <c r="H23" s="274"/>
      <c r="I23" s="275"/>
      <c r="J23" s="377">
        <f t="shared" si="2"/>
        <v>0</v>
      </c>
      <c r="K23" s="378">
        <f t="shared" si="0"/>
        <v>0</v>
      </c>
      <c r="L23" s="379">
        <f t="shared" si="0"/>
        <v>0</v>
      </c>
      <c r="R23" s="110"/>
    </row>
    <row r="24" spans="1:21" ht="31.2" x14ac:dyDescent="0.3">
      <c r="A24" s="45" t="str">
        <f t="shared" si="1"/>
        <v>Unitil</v>
      </c>
      <c r="B24" s="451" t="s">
        <v>9</v>
      </c>
      <c r="C24" s="454" t="s">
        <v>357</v>
      </c>
      <c r="D24" s="273"/>
      <c r="E24" s="274"/>
      <c r="F24" s="275"/>
      <c r="G24" s="273"/>
      <c r="H24" s="274"/>
      <c r="I24" s="275"/>
      <c r="J24" s="377">
        <f t="shared" si="2"/>
        <v>0</v>
      </c>
      <c r="K24" s="378">
        <f t="shared" si="0"/>
        <v>0</v>
      </c>
      <c r="L24" s="379">
        <f t="shared" si="0"/>
        <v>0</v>
      </c>
      <c r="R24" s="110"/>
    </row>
    <row r="25" spans="1:21" ht="31.2" x14ac:dyDescent="0.3">
      <c r="A25" s="45" t="str">
        <f t="shared" si="1"/>
        <v>Unitil</v>
      </c>
      <c r="B25" s="451" t="s">
        <v>376</v>
      </c>
      <c r="C25" s="454" t="s">
        <v>10</v>
      </c>
      <c r="D25" s="456"/>
      <c r="E25" s="457"/>
      <c r="F25" s="458"/>
      <c r="G25" s="456"/>
      <c r="H25" s="457"/>
      <c r="I25" s="458"/>
      <c r="J25" s="459">
        <f t="shared" si="2"/>
        <v>0</v>
      </c>
      <c r="K25" s="460">
        <f t="shared" si="0"/>
        <v>0</v>
      </c>
      <c r="L25" s="461">
        <f t="shared" si="0"/>
        <v>0</v>
      </c>
      <c r="Q25" s="11"/>
      <c r="R25" s="110"/>
    </row>
    <row r="26" spans="1:21" ht="31.2" x14ac:dyDescent="0.3">
      <c r="A26" s="45" t="str">
        <f t="shared" si="1"/>
        <v>Unitil</v>
      </c>
      <c r="B26" s="451" t="s">
        <v>376</v>
      </c>
      <c r="C26" s="454" t="s">
        <v>335</v>
      </c>
      <c r="D26" s="456"/>
      <c r="E26" s="457"/>
      <c r="F26" s="458"/>
      <c r="G26" s="456"/>
      <c r="H26" s="457"/>
      <c r="I26" s="458"/>
      <c r="J26" s="459">
        <f t="shared" si="2"/>
        <v>0</v>
      </c>
      <c r="K26" s="460">
        <f t="shared" si="2"/>
        <v>0</v>
      </c>
      <c r="L26" s="461">
        <f t="shared" si="2"/>
        <v>0</v>
      </c>
    </row>
    <row r="27" spans="1:21" ht="31.2" x14ac:dyDescent="0.3">
      <c r="A27" s="45" t="str">
        <f t="shared" si="1"/>
        <v>Unitil</v>
      </c>
      <c r="B27" s="451" t="s">
        <v>10</v>
      </c>
      <c r="C27" s="454" t="s">
        <v>377</v>
      </c>
      <c r="D27" s="456"/>
      <c r="E27" s="457"/>
      <c r="F27" s="458"/>
      <c r="G27" s="456"/>
      <c r="H27" s="457"/>
      <c r="I27" s="458"/>
      <c r="J27" s="459">
        <f>IFERROR(((G27-D27)/D27),0)</f>
        <v>0</v>
      </c>
      <c r="K27" s="460">
        <f t="shared" ref="K27:L27" si="6">IFERROR(((H27-E27)/E27),0)</f>
        <v>0</v>
      </c>
      <c r="L27" s="461">
        <f t="shared" si="6"/>
        <v>0</v>
      </c>
    </row>
    <row r="28" spans="1:21" ht="31.2" x14ac:dyDescent="0.3">
      <c r="A28" s="45" t="str">
        <f t="shared" si="1"/>
        <v>Unitil</v>
      </c>
      <c r="B28" s="451" t="s">
        <v>10</v>
      </c>
      <c r="C28" s="454" t="s">
        <v>378</v>
      </c>
      <c r="D28" s="456"/>
      <c r="E28" s="457"/>
      <c r="F28" s="458"/>
      <c r="G28" s="456"/>
      <c r="H28" s="457"/>
      <c r="I28" s="458"/>
      <c r="J28" s="459">
        <f t="shared" ref="J28:L36" si="7">IFERROR(((G28-D23)/D23),0)</f>
        <v>0</v>
      </c>
      <c r="K28" s="460">
        <f t="shared" si="7"/>
        <v>0</v>
      </c>
      <c r="L28" s="461">
        <f t="shared" si="7"/>
        <v>0</v>
      </c>
    </row>
    <row r="29" spans="1:21" s="7" customFormat="1" ht="15.6" x14ac:dyDescent="0.3">
      <c r="A29" s="45" t="str">
        <f t="shared" si="1"/>
        <v>Unitil</v>
      </c>
      <c r="B29" s="451" t="s">
        <v>10</v>
      </c>
      <c r="C29" s="454" t="s">
        <v>359</v>
      </c>
      <c r="D29" s="273"/>
      <c r="E29" s="274"/>
      <c r="F29" s="275"/>
      <c r="G29" s="273"/>
      <c r="H29" s="274"/>
      <c r="I29" s="275"/>
      <c r="J29" s="377">
        <f t="shared" si="7"/>
        <v>0</v>
      </c>
      <c r="K29" s="378">
        <f t="shared" si="7"/>
        <v>0</v>
      </c>
      <c r="L29" s="379">
        <f t="shared" si="7"/>
        <v>0</v>
      </c>
    </row>
    <row r="30" spans="1:21" ht="15.6" x14ac:dyDescent="0.3">
      <c r="A30" s="45" t="str">
        <f t="shared" si="1"/>
        <v>Unitil</v>
      </c>
      <c r="B30" s="451" t="s">
        <v>336</v>
      </c>
      <c r="C30" s="454" t="s">
        <v>339</v>
      </c>
      <c r="D30" s="456"/>
      <c r="E30" s="457"/>
      <c r="F30" s="458"/>
      <c r="G30" s="456"/>
      <c r="H30" s="457"/>
      <c r="I30" s="458"/>
      <c r="J30" s="459">
        <f t="shared" si="7"/>
        <v>0</v>
      </c>
      <c r="K30" s="460">
        <f t="shared" si="7"/>
        <v>0</v>
      </c>
      <c r="L30" s="461">
        <f t="shared" si="7"/>
        <v>0</v>
      </c>
    </row>
    <row r="31" spans="1:21" ht="31.2" x14ac:dyDescent="0.3">
      <c r="A31" s="45" t="str">
        <f t="shared" si="1"/>
        <v>Unitil</v>
      </c>
      <c r="B31" s="451" t="s">
        <v>336</v>
      </c>
      <c r="C31" s="454" t="s">
        <v>379</v>
      </c>
      <c r="D31" s="469"/>
      <c r="E31" s="470"/>
      <c r="F31" s="471"/>
      <c r="G31" s="456"/>
      <c r="H31" s="457"/>
      <c r="I31" s="458"/>
      <c r="J31" s="459">
        <f t="shared" si="7"/>
        <v>0</v>
      </c>
      <c r="K31" s="460">
        <f t="shared" si="7"/>
        <v>0</v>
      </c>
      <c r="L31" s="461">
        <f t="shared" si="7"/>
        <v>0</v>
      </c>
    </row>
    <row r="32" spans="1:21" ht="15.6" x14ac:dyDescent="0.3">
      <c r="A32" s="45" t="str">
        <f t="shared" si="1"/>
        <v>Unitil</v>
      </c>
      <c r="B32" s="451" t="s">
        <v>342</v>
      </c>
      <c r="C32" s="454" t="s">
        <v>358</v>
      </c>
      <c r="D32" s="279"/>
      <c r="E32" s="274"/>
      <c r="F32" s="275"/>
      <c r="G32" s="273"/>
      <c r="H32" s="274"/>
      <c r="I32" s="275"/>
      <c r="J32" s="377">
        <f t="shared" si="7"/>
        <v>0</v>
      </c>
      <c r="K32" s="378">
        <f t="shared" si="7"/>
        <v>0</v>
      </c>
      <c r="L32" s="379">
        <f t="shared" si="7"/>
        <v>0</v>
      </c>
    </row>
    <row r="33" spans="1:12" ht="15.6" x14ac:dyDescent="0.3">
      <c r="A33" s="45" t="str">
        <f t="shared" si="1"/>
        <v>Unitil</v>
      </c>
      <c r="B33" s="451" t="s">
        <v>342</v>
      </c>
      <c r="C33" s="454" t="s">
        <v>380</v>
      </c>
      <c r="D33" s="462"/>
      <c r="E33" s="457"/>
      <c r="F33" s="458"/>
      <c r="G33" s="456"/>
      <c r="H33" s="457"/>
      <c r="I33" s="458"/>
      <c r="J33" s="459">
        <f t="shared" si="7"/>
        <v>0</v>
      </c>
      <c r="K33" s="460">
        <f t="shared" si="7"/>
        <v>0</v>
      </c>
      <c r="L33" s="461">
        <f t="shared" si="7"/>
        <v>0</v>
      </c>
    </row>
    <row r="34" spans="1:12" ht="15.6" x14ac:dyDescent="0.3">
      <c r="A34" s="45" t="str">
        <f t="shared" si="1"/>
        <v>Unitil</v>
      </c>
      <c r="B34" s="451" t="s">
        <v>341</v>
      </c>
      <c r="C34" s="454"/>
      <c r="D34" s="463"/>
      <c r="E34" s="464"/>
      <c r="F34" s="465"/>
      <c r="G34" s="456"/>
      <c r="H34" s="457"/>
      <c r="I34" s="458"/>
      <c r="J34" s="459">
        <f t="shared" si="7"/>
        <v>0</v>
      </c>
      <c r="K34" s="460">
        <f t="shared" si="7"/>
        <v>0</v>
      </c>
      <c r="L34" s="461">
        <f t="shared" si="7"/>
        <v>0</v>
      </c>
    </row>
    <row r="35" spans="1:12" ht="15.6" x14ac:dyDescent="0.3">
      <c r="A35" s="45" t="str">
        <f t="shared" si="1"/>
        <v>Unitil</v>
      </c>
      <c r="B35" s="451" t="s">
        <v>362</v>
      </c>
      <c r="C35" s="454" t="s">
        <v>337</v>
      </c>
      <c r="D35" s="463"/>
      <c r="E35" s="464"/>
      <c r="F35" s="465"/>
      <c r="G35" s="456"/>
      <c r="H35" s="457"/>
      <c r="I35" s="458"/>
      <c r="J35" s="459">
        <f t="shared" si="7"/>
        <v>0</v>
      </c>
      <c r="K35" s="460">
        <f t="shared" si="7"/>
        <v>0</v>
      </c>
      <c r="L35" s="461">
        <f t="shared" si="7"/>
        <v>0</v>
      </c>
    </row>
    <row r="36" spans="1:12" ht="15.6" x14ac:dyDescent="0.3">
      <c r="A36" s="45" t="str">
        <f t="shared" si="1"/>
        <v>Unitil</v>
      </c>
      <c r="B36" s="451" t="s">
        <v>11</v>
      </c>
      <c r="C36" s="454" t="s">
        <v>360</v>
      </c>
      <c r="D36" s="463"/>
      <c r="E36" s="464"/>
      <c r="F36" s="465"/>
      <c r="G36" s="456"/>
      <c r="H36" s="457"/>
      <c r="I36" s="458"/>
      <c r="J36" s="459">
        <f t="shared" si="7"/>
        <v>0</v>
      </c>
      <c r="K36" s="460">
        <f t="shared" si="7"/>
        <v>0</v>
      </c>
      <c r="L36" s="461">
        <f t="shared" si="7"/>
        <v>0</v>
      </c>
    </row>
    <row r="37" spans="1:12" ht="15.6" x14ac:dyDescent="0.3">
      <c r="A37" s="45" t="str">
        <f t="shared" si="1"/>
        <v>Unitil</v>
      </c>
      <c r="B37" s="451" t="s">
        <v>350</v>
      </c>
      <c r="C37" s="454" t="s">
        <v>363</v>
      </c>
      <c r="D37" s="279"/>
      <c r="E37" s="274"/>
      <c r="F37" s="275"/>
      <c r="G37" s="273"/>
      <c r="H37" s="274"/>
      <c r="I37" s="275"/>
      <c r="J37" s="380">
        <f t="shared" ref="J37:L39" si="8">IFERROR(((G37-D30)/D30),0)</f>
        <v>0</v>
      </c>
      <c r="K37" s="381">
        <f t="shared" si="8"/>
        <v>0</v>
      </c>
      <c r="L37" s="382">
        <f t="shared" si="8"/>
        <v>0</v>
      </c>
    </row>
    <row r="38" spans="1:12" ht="15.6" x14ac:dyDescent="0.3">
      <c r="A38" s="45" t="str">
        <f t="shared" si="1"/>
        <v>Unitil</v>
      </c>
      <c r="B38" s="451" t="s">
        <v>350</v>
      </c>
      <c r="C38" s="454" t="s">
        <v>354</v>
      </c>
      <c r="D38" s="279"/>
      <c r="E38" s="274"/>
      <c r="F38" s="275"/>
      <c r="G38" s="273"/>
      <c r="H38" s="274"/>
      <c r="I38" s="275"/>
      <c r="J38" s="380">
        <f t="shared" si="8"/>
        <v>0</v>
      </c>
      <c r="K38" s="381">
        <f t="shared" si="8"/>
        <v>0</v>
      </c>
      <c r="L38" s="382">
        <f t="shared" si="8"/>
        <v>0</v>
      </c>
    </row>
    <row r="39" spans="1:12" ht="31.2" x14ac:dyDescent="0.3">
      <c r="A39" s="45" t="str">
        <f t="shared" si="1"/>
        <v>Unitil</v>
      </c>
      <c r="B39" s="451" t="s">
        <v>350</v>
      </c>
      <c r="C39" s="454" t="s">
        <v>381</v>
      </c>
      <c r="D39" s="462"/>
      <c r="E39" s="457"/>
      <c r="F39" s="458"/>
      <c r="G39" s="456"/>
      <c r="H39" s="457"/>
      <c r="I39" s="458"/>
      <c r="J39" s="466">
        <f t="shared" si="8"/>
        <v>0</v>
      </c>
      <c r="K39" s="467">
        <f t="shared" si="8"/>
        <v>0</v>
      </c>
      <c r="L39" s="468">
        <f t="shared" si="8"/>
        <v>0</v>
      </c>
    </row>
    <row r="40" spans="1:12" ht="31.2" x14ac:dyDescent="0.3">
      <c r="A40" s="45" t="str">
        <f t="shared" si="1"/>
        <v>Unitil</v>
      </c>
      <c r="B40" s="451" t="s">
        <v>351</v>
      </c>
      <c r="C40" s="454" t="s">
        <v>351</v>
      </c>
      <c r="D40" s="279"/>
      <c r="E40" s="274"/>
      <c r="F40" s="275"/>
      <c r="G40" s="273"/>
      <c r="H40" s="274"/>
      <c r="I40" s="275"/>
      <c r="J40" s="380">
        <f t="shared" ref="J40:L42" si="9">IFERROR(((G40-D32)/D32),0)</f>
        <v>0</v>
      </c>
      <c r="K40" s="381">
        <f t="shared" si="9"/>
        <v>0</v>
      </c>
      <c r="L40" s="382">
        <f t="shared" si="9"/>
        <v>0</v>
      </c>
    </row>
    <row r="41" spans="1:12" ht="31.2" x14ac:dyDescent="0.3">
      <c r="A41" s="45" t="str">
        <f t="shared" si="1"/>
        <v>Unitil</v>
      </c>
      <c r="B41" s="451" t="s">
        <v>352</v>
      </c>
      <c r="C41" s="454" t="s">
        <v>352</v>
      </c>
      <c r="D41" s="279"/>
      <c r="E41" s="274"/>
      <c r="F41" s="275"/>
      <c r="G41" s="273"/>
      <c r="H41" s="274"/>
      <c r="I41" s="275"/>
      <c r="J41" s="380">
        <f t="shared" si="9"/>
        <v>0</v>
      </c>
      <c r="K41" s="381">
        <f t="shared" si="9"/>
        <v>0</v>
      </c>
      <c r="L41" s="382">
        <f t="shared" si="9"/>
        <v>0</v>
      </c>
    </row>
    <row r="42" spans="1:12" ht="16.2" thickBot="1" x14ac:dyDescent="0.35">
      <c r="A42" s="46" t="str">
        <f t="shared" si="1"/>
        <v>Unitil</v>
      </c>
      <c r="B42" s="452" t="s">
        <v>353</v>
      </c>
      <c r="C42" s="455" t="s">
        <v>353</v>
      </c>
      <c r="D42" s="472"/>
      <c r="E42" s="473"/>
      <c r="F42" s="474"/>
      <c r="G42" s="475"/>
      <c r="H42" s="473"/>
      <c r="I42" s="474"/>
      <c r="J42" s="380">
        <f t="shared" si="9"/>
        <v>0</v>
      </c>
      <c r="K42" s="381">
        <f t="shared" si="9"/>
        <v>0</v>
      </c>
      <c r="L42" s="382">
        <f t="shared" si="9"/>
        <v>0</v>
      </c>
    </row>
    <row r="43" spans="1:12" ht="15" thickBot="1" x14ac:dyDescent="0.35">
      <c r="C43" s="439" t="s">
        <v>228</v>
      </c>
      <c r="D43" s="280">
        <f>SUM(D9:D42)</f>
        <v>0</v>
      </c>
      <c r="E43" s="280">
        <f t="shared" ref="E43:I43" si="10">SUM(E9:E42)</f>
        <v>0</v>
      </c>
      <c r="F43" s="281">
        <f t="shared" si="10"/>
        <v>0</v>
      </c>
      <c r="G43" s="276">
        <f t="shared" si="10"/>
        <v>0</v>
      </c>
      <c r="H43" s="277">
        <f t="shared" si="10"/>
        <v>0</v>
      </c>
      <c r="I43" s="278">
        <f t="shared" si="10"/>
        <v>0</v>
      </c>
      <c r="J43" s="282"/>
      <c r="K43" s="283"/>
      <c r="L43" s="284"/>
    </row>
    <row r="45" spans="1:12" ht="15" thickBot="1" x14ac:dyDescent="0.35">
      <c r="B45" s="359"/>
      <c r="D45" s="443"/>
      <c r="E45" s="444"/>
      <c r="F45" s="444"/>
      <c r="G45" s="443"/>
      <c r="H45" s="444"/>
    </row>
    <row r="46" spans="1:12" ht="15" thickBot="1" x14ac:dyDescent="0.35">
      <c r="B46" s="359"/>
      <c r="D46" s="476" t="s">
        <v>252</v>
      </c>
      <c r="E46" s="444"/>
      <c r="F46" s="444"/>
      <c r="G46" s="443"/>
      <c r="H46" s="444"/>
    </row>
    <row r="47" spans="1:12" ht="15" thickBot="1" x14ac:dyDescent="0.35">
      <c r="D47" s="477">
        <v>2025</v>
      </c>
      <c r="E47" s="444"/>
      <c r="F47" s="444"/>
      <c r="G47" s="443"/>
      <c r="H47" s="444"/>
    </row>
    <row r="48" spans="1:12" ht="15" thickBot="1" x14ac:dyDescent="0.35">
      <c r="B48" s="121" t="s">
        <v>223</v>
      </c>
      <c r="C48" s="121" t="s">
        <v>254</v>
      </c>
      <c r="D48" s="478" t="s">
        <v>232</v>
      </c>
      <c r="E48" s="444"/>
      <c r="F48" s="444"/>
      <c r="G48" s="443"/>
      <c r="H48" s="444"/>
    </row>
    <row r="49" spans="2:8" x14ac:dyDescent="0.3">
      <c r="B49" s="389" t="s">
        <v>343</v>
      </c>
      <c r="C49" s="389" t="s">
        <v>255</v>
      </c>
      <c r="D49" s="428"/>
      <c r="E49" s="444"/>
      <c r="F49" s="444"/>
      <c r="G49" s="443"/>
      <c r="H49" s="444"/>
    </row>
    <row r="50" spans="2:8" x14ac:dyDescent="0.3">
      <c r="B50" s="389"/>
      <c r="C50" s="389" t="s">
        <v>256</v>
      </c>
      <c r="D50" s="428"/>
      <c r="E50" s="444"/>
      <c r="F50" s="444"/>
      <c r="G50" s="443"/>
      <c r="H50" s="444"/>
    </row>
    <row r="51" spans="2:8" ht="15" thickBot="1" x14ac:dyDescent="0.35">
      <c r="B51" s="393"/>
      <c r="C51" s="394" t="s">
        <v>257</v>
      </c>
      <c r="D51" s="414"/>
      <c r="E51" s="444"/>
      <c r="F51" s="444"/>
      <c r="G51" s="443"/>
      <c r="H51" s="444"/>
    </row>
    <row r="52" spans="2:8" x14ac:dyDescent="0.3">
      <c r="B52" s="389" t="s">
        <v>7</v>
      </c>
      <c r="C52" s="389" t="s">
        <v>255</v>
      </c>
      <c r="D52" s="428"/>
      <c r="E52" s="444"/>
      <c r="F52" s="444"/>
      <c r="G52" s="443"/>
      <c r="H52" s="444"/>
    </row>
    <row r="53" spans="2:8" x14ac:dyDescent="0.3">
      <c r="B53" s="389"/>
      <c r="C53" s="389" t="s">
        <v>256</v>
      </c>
      <c r="D53" s="428"/>
      <c r="E53" s="444"/>
      <c r="F53" s="444"/>
      <c r="G53" s="443"/>
      <c r="H53" s="444"/>
    </row>
    <row r="54" spans="2:8" ht="15" thickBot="1" x14ac:dyDescent="0.35">
      <c r="B54" s="393"/>
      <c r="C54" s="394" t="s">
        <v>257</v>
      </c>
      <c r="D54" s="414"/>
      <c r="E54" s="444"/>
      <c r="F54" s="444"/>
      <c r="G54" s="443"/>
      <c r="H54" s="444"/>
    </row>
    <row r="55" spans="2:8" x14ac:dyDescent="0.3">
      <c r="B55" s="389" t="s">
        <v>8</v>
      </c>
      <c r="C55" s="389" t="s">
        <v>255</v>
      </c>
      <c r="D55" s="428"/>
      <c r="E55" s="444"/>
      <c r="F55" s="444"/>
      <c r="G55" s="443"/>
      <c r="H55" s="444"/>
    </row>
    <row r="56" spans="2:8" x14ac:dyDescent="0.3">
      <c r="B56" s="389"/>
      <c r="C56" s="389" t="s">
        <v>256</v>
      </c>
      <c r="D56" s="428"/>
      <c r="E56" s="444"/>
      <c r="F56" s="444"/>
      <c r="G56" s="443"/>
      <c r="H56" s="444"/>
    </row>
    <row r="57" spans="2:8" ht="15" thickBot="1" x14ac:dyDescent="0.35">
      <c r="B57" s="393"/>
      <c r="C57" s="394" t="s">
        <v>257</v>
      </c>
      <c r="D57" s="414"/>
      <c r="E57" s="444"/>
      <c r="F57" s="444"/>
      <c r="G57" s="443"/>
      <c r="H57" s="444"/>
    </row>
    <row r="58" spans="2:8" x14ac:dyDescent="0.3">
      <c r="B58" s="389" t="s">
        <v>9</v>
      </c>
      <c r="C58" s="389" t="s">
        <v>255</v>
      </c>
      <c r="D58" s="428"/>
      <c r="E58" s="444"/>
      <c r="F58" s="444"/>
      <c r="G58" s="443"/>
      <c r="H58" s="444"/>
    </row>
    <row r="59" spans="2:8" x14ac:dyDescent="0.3">
      <c r="B59" s="389"/>
      <c r="C59" s="389" t="s">
        <v>256</v>
      </c>
      <c r="D59" s="428"/>
      <c r="E59" s="444"/>
      <c r="F59" s="444"/>
      <c r="G59" s="443"/>
      <c r="H59" s="444"/>
    </row>
    <row r="60" spans="2:8" ht="15" thickBot="1" x14ac:dyDescent="0.35">
      <c r="B60" s="393"/>
      <c r="C60" s="394" t="s">
        <v>257</v>
      </c>
      <c r="D60" s="414"/>
      <c r="E60" s="444"/>
      <c r="F60" s="444"/>
      <c r="G60" s="443"/>
      <c r="H60" s="444"/>
    </row>
    <row r="61" spans="2:8" x14ac:dyDescent="0.3">
      <c r="B61" s="389" t="s">
        <v>335</v>
      </c>
      <c r="C61" s="389" t="s">
        <v>255</v>
      </c>
      <c r="D61" s="428"/>
      <c r="E61" s="444"/>
      <c r="F61" s="444"/>
      <c r="G61" s="443"/>
      <c r="H61" s="444"/>
    </row>
    <row r="62" spans="2:8" x14ac:dyDescent="0.3">
      <c r="B62" s="389"/>
      <c r="C62" s="389" t="s">
        <v>256</v>
      </c>
      <c r="D62" s="428"/>
      <c r="E62" s="444"/>
      <c r="F62" s="444"/>
      <c r="G62" s="443"/>
      <c r="H62" s="444"/>
    </row>
    <row r="63" spans="2:8" ht="15" thickBot="1" x14ac:dyDescent="0.35">
      <c r="B63" s="393"/>
      <c r="C63" s="394" t="s">
        <v>257</v>
      </c>
      <c r="D63" s="414"/>
      <c r="E63" s="444"/>
      <c r="F63" s="444"/>
      <c r="G63" s="443"/>
      <c r="H63" s="444"/>
    </row>
    <row r="64" spans="2:8" x14ac:dyDescent="0.3">
      <c r="B64" s="389" t="s">
        <v>10</v>
      </c>
      <c r="C64" s="389" t="s">
        <v>255</v>
      </c>
      <c r="D64" s="428"/>
      <c r="E64" s="444"/>
      <c r="F64" s="444"/>
      <c r="G64" s="443"/>
      <c r="H64" s="444"/>
    </row>
    <row r="65" spans="2:8" x14ac:dyDescent="0.3">
      <c r="B65" s="389"/>
      <c r="C65" s="389" t="s">
        <v>256</v>
      </c>
      <c r="D65" s="428"/>
      <c r="E65" s="444"/>
      <c r="F65" s="444"/>
      <c r="G65" s="443"/>
      <c r="H65" s="444"/>
    </row>
    <row r="66" spans="2:8" ht="15" thickBot="1" x14ac:dyDescent="0.35">
      <c r="B66" s="393"/>
      <c r="C66" s="394" t="s">
        <v>257</v>
      </c>
      <c r="D66" s="414"/>
      <c r="E66" s="444"/>
      <c r="F66" s="444"/>
      <c r="G66" s="443"/>
      <c r="H66" s="444"/>
    </row>
    <row r="67" spans="2:8" x14ac:dyDescent="0.3">
      <c r="B67" s="389" t="s">
        <v>336</v>
      </c>
      <c r="C67" s="389" t="s">
        <v>255</v>
      </c>
      <c r="D67" s="428"/>
      <c r="E67" s="444"/>
      <c r="F67" s="444"/>
      <c r="G67" s="443"/>
      <c r="H67" s="444"/>
    </row>
    <row r="68" spans="2:8" x14ac:dyDescent="0.3">
      <c r="B68" s="389"/>
      <c r="C68" s="389" t="s">
        <v>256</v>
      </c>
      <c r="D68" s="428"/>
      <c r="E68" s="444"/>
      <c r="F68" s="444"/>
      <c r="G68" s="443"/>
      <c r="H68" s="444"/>
    </row>
    <row r="69" spans="2:8" ht="15" thickBot="1" x14ac:dyDescent="0.35">
      <c r="B69" s="393"/>
      <c r="C69" s="394" t="s">
        <v>257</v>
      </c>
      <c r="D69" s="414"/>
      <c r="E69" s="444"/>
      <c r="F69" s="444"/>
      <c r="G69" s="443"/>
      <c r="H69" s="444"/>
    </row>
    <row r="70" spans="2:8" x14ac:dyDescent="0.3">
      <c r="B70" s="389" t="s">
        <v>349</v>
      </c>
      <c r="C70" s="389" t="s">
        <v>255</v>
      </c>
      <c r="D70" s="428"/>
      <c r="E70" s="444"/>
      <c r="F70" s="444"/>
      <c r="G70" s="443"/>
      <c r="H70" s="444"/>
    </row>
    <row r="71" spans="2:8" x14ac:dyDescent="0.3">
      <c r="B71" s="389"/>
      <c r="C71" s="389" t="s">
        <v>256</v>
      </c>
      <c r="D71" s="428"/>
      <c r="E71" s="444"/>
      <c r="F71" s="444"/>
      <c r="G71" s="443"/>
      <c r="H71" s="444"/>
    </row>
    <row r="72" spans="2:8" ht="15" thickBot="1" x14ac:dyDescent="0.35">
      <c r="B72" s="393"/>
      <c r="C72" s="394" t="s">
        <v>257</v>
      </c>
      <c r="D72" s="414"/>
      <c r="E72" s="444"/>
      <c r="F72" s="444"/>
      <c r="G72" s="443"/>
      <c r="H72" s="444"/>
    </row>
    <row r="73" spans="2:8" x14ac:dyDescent="0.3">
      <c r="B73" s="389" t="s">
        <v>341</v>
      </c>
      <c r="C73" s="389" t="s">
        <v>255</v>
      </c>
      <c r="D73" s="428"/>
      <c r="E73" s="444"/>
      <c r="F73" s="444"/>
      <c r="G73" s="443"/>
      <c r="H73" s="444"/>
    </row>
    <row r="74" spans="2:8" x14ac:dyDescent="0.3">
      <c r="B74" s="389"/>
      <c r="C74" s="389" t="s">
        <v>256</v>
      </c>
      <c r="D74" s="428"/>
      <c r="E74" s="444"/>
      <c r="F74" s="444"/>
      <c r="G74" s="443"/>
      <c r="H74" s="444"/>
    </row>
    <row r="75" spans="2:8" ht="15" thickBot="1" x14ac:dyDescent="0.35">
      <c r="B75" s="393"/>
      <c r="C75" s="394" t="s">
        <v>257</v>
      </c>
      <c r="D75" s="414"/>
      <c r="E75" s="444"/>
      <c r="F75" s="444"/>
      <c r="G75" s="443"/>
      <c r="H75" s="444"/>
    </row>
    <row r="76" spans="2:8" x14ac:dyDescent="0.3">
      <c r="B76" s="389" t="s">
        <v>337</v>
      </c>
      <c r="C76" s="389" t="s">
        <v>255</v>
      </c>
      <c r="D76" s="428"/>
      <c r="E76" s="444"/>
      <c r="F76" s="444"/>
      <c r="G76" s="443"/>
      <c r="H76" s="444"/>
    </row>
    <row r="77" spans="2:8" x14ac:dyDescent="0.3">
      <c r="B77" s="389"/>
      <c r="C77" s="389" t="s">
        <v>256</v>
      </c>
      <c r="D77" s="428"/>
      <c r="E77" s="444"/>
      <c r="F77" s="444"/>
      <c r="G77" s="443"/>
      <c r="H77" s="444"/>
    </row>
    <row r="78" spans="2:8" ht="15" thickBot="1" x14ac:dyDescent="0.35">
      <c r="B78" s="393"/>
      <c r="C78" s="394" t="s">
        <v>257</v>
      </c>
      <c r="D78" s="414"/>
      <c r="E78" s="444"/>
      <c r="F78" s="444"/>
      <c r="G78" s="443"/>
      <c r="H78" s="444"/>
    </row>
    <row r="79" spans="2:8" x14ac:dyDescent="0.3">
      <c r="B79" s="389" t="s">
        <v>11</v>
      </c>
      <c r="C79" s="389" t="s">
        <v>255</v>
      </c>
      <c r="D79" s="428"/>
      <c r="E79" s="444"/>
      <c r="F79" s="444"/>
      <c r="G79" s="443"/>
      <c r="H79" s="444"/>
    </row>
    <row r="80" spans="2:8" x14ac:dyDescent="0.3">
      <c r="B80" s="389"/>
      <c r="C80" s="389" t="s">
        <v>256</v>
      </c>
      <c r="D80" s="428"/>
      <c r="E80" s="444"/>
      <c r="F80" s="444"/>
      <c r="G80" s="443"/>
      <c r="H80" s="444"/>
    </row>
    <row r="81" spans="2:8" ht="15" thickBot="1" x14ac:dyDescent="0.35">
      <c r="B81" s="393"/>
      <c r="C81" s="394" t="s">
        <v>257</v>
      </c>
      <c r="D81" s="424"/>
      <c r="E81" s="444"/>
      <c r="F81" s="444"/>
      <c r="G81" s="443"/>
      <c r="H81" s="444"/>
    </row>
    <row r="82" spans="2:8" x14ac:dyDescent="0.3">
      <c r="B82" s="389" t="s">
        <v>350</v>
      </c>
      <c r="C82" s="389" t="s">
        <v>255</v>
      </c>
      <c r="D82" s="428"/>
      <c r="E82" s="444"/>
      <c r="F82" s="444"/>
      <c r="G82" s="443"/>
      <c r="H82" s="444"/>
    </row>
    <row r="83" spans="2:8" x14ac:dyDescent="0.3">
      <c r="B83" s="389"/>
      <c r="C83" s="389" t="s">
        <v>256</v>
      </c>
      <c r="D83" s="428"/>
      <c r="E83" s="444"/>
      <c r="F83" s="444"/>
      <c r="G83" s="443"/>
      <c r="H83" s="444"/>
    </row>
    <row r="84" spans="2:8" ht="15" thickBot="1" x14ac:dyDescent="0.35">
      <c r="B84" s="393"/>
      <c r="C84" s="394" t="s">
        <v>257</v>
      </c>
      <c r="D84" s="424"/>
      <c r="E84" s="444"/>
      <c r="F84" s="444"/>
      <c r="G84" s="443"/>
      <c r="H84" s="444"/>
    </row>
    <row r="85" spans="2:8" x14ac:dyDescent="0.3">
      <c r="B85" s="389" t="s">
        <v>351</v>
      </c>
      <c r="C85" s="389" t="s">
        <v>255</v>
      </c>
      <c r="D85" s="428"/>
      <c r="E85" s="444"/>
      <c r="F85" s="444"/>
      <c r="G85" s="443"/>
      <c r="H85" s="444"/>
    </row>
    <row r="86" spans="2:8" x14ac:dyDescent="0.3">
      <c r="B86" s="389"/>
      <c r="C86" s="389" t="s">
        <v>256</v>
      </c>
      <c r="D86" s="428"/>
      <c r="E86" s="444"/>
      <c r="F86" s="444"/>
      <c r="G86" s="443"/>
      <c r="H86" s="444"/>
    </row>
    <row r="87" spans="2:8" ht="15" thickBot="1" x14ac:dyDescent="0.35">
      <c r="B87" s="393"/>
      <c r="C87" s="394" t="s">
        <v>257</v>
      </c>
      <c r="D87" s="424"/>
      <c r="E87" s="444"/>
      <c r="F87" s="444"/>
      <c r="G87" s="443"/>
      <c r="H87" s="444"/>
    </row>
    <row r="88" spans="2:8" x14ac:dyDescent="0.3">
      <c r="B88" s="389" t="s">
        <v>352</v>
      </c>
      <c r="C88" s="389" t="s">
        <v>255</v>
      </c>
      <c r="D88" s="428"/>
      <c r="E88" s="444"/>
      <c r="F88" s="444"/>
      <c r="G88" s="443"/>
      <c r="H88" s="444"/>
    </row>
    <row r="89" spans="2:8" x14ac:dyDescent="0.3">
      <c r="B89" s="389"/>
      <c r="C89" s="389" t="s">
        <v>256</v>
      </c>
      <c r="D89" s="428"/>
      <c r="E89" s="444"/>
      <c r="F89" s="444"/>
      <c r="G89" s="443"/>
      <c r="H89" s="444"/>
    </row>
    <row r="90" spans="2:8" ht="15" thickBot="1" x14ac:dyDescent="0.35">
      <c r="B90" s="393"/>
      <c r="C90" s="394" t="s">
        <v>257</v>
      </c>
      <c r="D90" s="424"/>
      <c r="E90" s="444"/>
      <c r="F90" s="444"/>
      <c r="G90" s="443"/>
      <c r="H90" s="444"/>
    </row>
    <row r="91" spans="2:8" x14ac:dyDescent="0.3">
      <c r="B91" s="389" t="s">
        <v>353</v>
      </c>
      <c r="C91" s="389" t="s">
        <v>255</v>
      </c>
      <c r="D91" s="428"/>
      <c r="E91" s="444"/>
      <c r="F91" s="444"/>
      <c r="G91" s="443"/>
      <c r="H91" s="444"/>
    </row>
    <row r="92" spans="2:8" x14ac:dyDescent="0.3">
      <c r="B92" s="389"/>
      <c r="C92" s="389" t="s">
        <v>256</v>
      </c>
      <c r="D92" s="428"/>
      <c r="E92" s="444"/>
      <c r="F92" s="444"/>
      <c r="G92" s="443"/>
      <c r="H92" s="444"/>
    </row>
    <row r="93" spans="2:8" ht="15" thickBot="1" x14ac:dyDescent="0.35">
      <c r="B93" s="393"/>
      <c r="C93" s="394" t="s">
        <v>257</v>
      </c>
      <c r="D93" s="424"/>
      <c r="E93" s="444"/>
      <c r="F93" s="444"/>
      <c r="G93" s="443"/>
      <c r="H93" s="444"/>
    </row>
    <row r="94" spans="2:8" x14ac:dyDescent="0.3">
      <c r="B94" s="445" t="s">
        <v>258</v>
      </c>
      <c r="C94" s="389" t="s">
        <v>255</v>
      </c>
      <c r="D94" s="428">
        <f>SUM(D49,D52,D55,D58,D64,D67,D61,D79,D70,D73,D76,D82,D85,D88,D91)</f>
        <v>0</v>
      </c>
      <c r="E94" s="444"/>
      <c r="F94" s="444"/>
      <c r="G94" s="443"/>
      <c r="H94" s="444"/>
    </row>
    <row r="95" spans="2:8" x14ac:dyDescent="0.3">
      <c r="B95" s="389"/>
      <c r="C95" s="389" t="s">
        <v>256</v>
      </c>
      <c r="D95" s="428">
        <f>SUM(D50,D53,D56,D59,D65,D68,D62,D80,D71,D74,D77,D83,D86,D89,D92)</f>
        <v>0</v>
      </c>
      <c r="E95" s="444"/>
      <c r="F95" s="444"/>
      <c r="G95" s="443"/>
      <c r="H95" s="444"/>
    </row>
    <row r="96" spans="2:8" ht="15" thickBot="1" x14ac:dyDescent="0.35">
      <c r="B96" s="393"/>
      <c r="C96" s="394" t="s">
        <v>257</v>
      </c>
      <c r="D96" s="424">
        <f>SUM(D51,D54,D57,D60,D66,D69,D63,D81,D72,D75,D78,D84,D87,D90,D93)</f>
        <v>0</v>
      </c>
      <c r="E96" s="444"/>
      <c r="F96" s="444"/>
      <c r="G96" s="443"/>
      <c r="H96" s="444"/>
    </row>
    <row r="97" spans="2:8" ht="15" thickBot="1" x14ac:dyDescent="0.35">
      <c r="E97" s="444"/>
      <c r="F97" s="444"/>
      <c r="G97" s="443"/>
      <c r="H97" s="444"/>
    </row>
    <row r="98" spans="2:8" ht="15" thickBot="1" x14ac:dyDescent="0.35">
      <c r="D98" s="479" t="s">
        <v>259</v>
      </c>
      <c r="E98" s="444"/>
      <c r="F98" s="444"/>
      <c r="G98" s="443"/>
      <c r="H98" s="444"/>
    </row>
    <row r="99" spans="2:8" ht="15" thickBot="1" x14ac:dyDescent="0.35">
      <c r="D99" s="477">
        <v>2025</v>
      </c>
      <c r="E99" s="444"/>
      <c r="F99" s="444"/>
      <c r="G99" s="443"/>
      <c r="H99" s="444"/>
    </row>
    <row r="100" spans="2:8" ht="15" thickBot="1" x14ac:dyDescent="0.35">
      <c r="B100" s="121" t="s">
        <v>223</v>
      </c>
      <c r="C100" s="399" t="s">
        <v>254</v>
      </c>
      <c r="D100" s="478" t="s">
        <v>232</v>
      </c>
      <c r="E100" s="444"/>
      <c r="F100" s="444"/>
      <c r="G100" s="443"/>
      <c r="H100" s="444"/>
    </row>
    <row r="101" spans="2:8" x14ac:dyDescent="0.3">
      <c r="B101" s="389" t="s">
        <v>343</v>
      </c>
      <c r="C101" s="401" t="s">
        <v>260</v>
      </c>
      <c r="D101" s="428"/>
      <c r="E101" s="444"/>
      <c r="F101" s="444"/>
      <c r="G101" s="443"/>
      <c r="H101" s="444"/>
    </row>
    <row r="102" spans="2:8" x14ac:dyDescent="0.3">
      <c r="B102" s="389"/>
      <c r="C102" s="401" t="s">
        <v>261</v>
      </c>
      <c r="D102" s="428"/>
      <c r="E102" s="444"/>
      <c r="F102" s="444"/>
      <c r="G102" s="443"/>
      <c r="H102" s="444"/>
    </row>
    <row r="103" spans="2:8" ht="15" thickBot="1" x14ac:dyDescent="0.35">
      <c r="B103" s="393"/>
      <c r="C103" s="402" t="s">
        <v>257</v>
      </c>
      <c r="D103" s="414"/>
      <c r="E103" s="444"/>
      <c r="F103" s="444"/>
      <c r="G103" s="443"/>
      <c r="H103" s="444"/>
    </row>
    <row r="104" spans="2:8" x14ac:dyDescent="0.3">
      <c r="B104" s="389" t="s">
        <v>7</v>
      </c>
      <c r="C104" s="401" t="s">
        <v>260</v>
      </c>
      <c r="D104" s="428"/>
      <c r="E104" s="444"/>
      <c r="F104" s="444"/>
      <c r="G104" s="443"/>
      <c r="H104" s="444"/>
    </row>
    <row r="105" spans="2:8" x14ac:dyDescent="0.3">
      <c r="B105" s="389"/>
      <c r="C105" s="401" t="s">
        <v>261</v>
      </c>
      <c r="D105" s="428"/>
      <c r="E105" s="444"/>
      <c r="F105" s="444"/>
      <c r="G105" s="443"/>
      <c r="H105" s="444"/>
    </row>
    <row r="106" spans="2:8" ht="15" thickBot="1" x14ac:dyDescent="0.35">
      <c r="B106" s="393"/>
      <c r="C106" s="402" t="s">
        <v>257</v>
      </c>
      <c r="D106" s="414"/>
      <c r="E106" s="444"/>
      <c r="F106" s="444"/>
      <c r="G106" s="443"/>
      <c r="H106" s="444"/>
    </row>
    <row r="107" spans="2:8" x14ac:dyDescent="0.3">
      <c r="B107" s="389" t="s">
        <v>8</v>
      </c>
      <c r="C107" s="401" t="s">
        <v>260</v>
      </c>
      <c r="D107" s="428"/>
      <c r="E107" s="444"/>
      <c r="F107" s="444"/>
      <c r="G107" s="443"/>
      <c r="H107" s="444"/>
    </row>
    <row r="108" spans="2:8" x14ac:dyDescent="0.3">
      <c r="B108" s="389"/>
      <c r="C108" s="401" t="s">
        <v>261</v>
      </c>
      <c r="D108" s="428"/>
      <c r="E108" s="444"/>
      <c r="F108" s="444"/>
      <c r="G108" s="443"/>
      <c r="H108" s="444"/>
    </row>
    <row r="109" spans="2:8" ht="15" thickBot="1" x14ac:dyDescent="0.35">
      <c r="B109" s="393"/>
      <c r="C109" s="402" t="s">
        <v>257</v>
      </c>
      <c r="D109" s="414"/>
      <c r="E109" s="444"/>
      <c r="F109" s="444"/>
      <c r="G109" s="443"/>
      <c r="H109" s="444"/>
    </row>
    <row r="110" spans="2:8" x14ac:dyDescent="0.3">
      <c r="B110" s="389" t="s">
        <v>9</v>
      </c>
      <c r="C110" s="401" t="s">
        <v>260</v>
      </c>
      <c r="D110" s="428"/>
      <c r="E110" s="444"/>
      <c r="F110" s="444"/>
      <c r="G110" s="443"/>
      <c r="H110" s="444"/>
    </row>
    <row r="111" spans="2:8" x14ac:dyDescent="0.3">
      <c r="B111" s="389"/>
      <c r="C111" s="401" t="s">
        <v>261</v>
      </c>
      <c r="D111" s="428"/>
      <c r="E111" s="444"/>
      <c r="F111" s="444"/>
      <c r="G111" s="443"/>
      <c r="H111" s="444"/>
    </row>
    <row r="112" spans="2:8" ht="15" thickBot="1" x14ac:dyDescent="0.35">
      <c r="B112" s="393"/>
      <c r="C112" s="402" t="s">
        <v>257</v>
      </c>
      <c r="D112" s="414"/>
      <c r="E112" s="444"/>
      <c r="F112" s="444"/>
      <c r="G112" s="443"/>
      <c r="H112" s="444"/>
    </row>
    <row r="113" spans="2:8" x14ac:dyDescent="0.3">
      <c r="B113" s="389" t="s">
        <v>335</v>
      </c>
      <c r="C113" s="401" t="s">
        <v>260</v>
      </c>
      <c r="D113" s="428"/>
      <c r="E113" s="444"/>
      <c r="F113" s="444"/>
      <c r="G113" s="443"/>
      <c r="H113" s="444"/>
    </row>
    <row r="114" spans="2:8" x14ac:dyDescent="0.3">
      <c r="B114" s="389"/>
      <c r="C114" s="401" t="s">
        <v>261</v>
      </c>
      <c r="D114" s="428"/>
      <c r="E114" s="444"/>
      <c r="F114" s="444"/>
      <c r="G114" s="443"/>
      <c r="H114" s="444"/>
    </row>
    <row r="115" spans="2:8" ht="15" thickBot="1" x14ac:dyDescent="0.35">
      <c r="B115" s="393"/>
      <c r="C115" s="402" t="s">
        <v>257</v>
      </c>
      <c r="D115" s="414"/>
      <c r="E115" s="444"/>
      <c r="F115" s="444"/>
      <c r="G115" s="443"/>
      <c r="H115" s="444"/>
    </row>
    <row r="116" spans="2:8" x14ac:dyDescent="0.3">
      <c r="B116" s="389" t="s">
        <v>10</v>
      </c>
      <c r="C116" s="401" t="s">
        <v>260</v>
      </c>
      <c r="D116" s="428"/>
      <c r="E116" s="444"/>
      <c r="F116" s="444"/>
      <c r="G116" s="443"/>
      <c r="H116" s="444"/>
    </row>
    <row r="117" spans="2:8" x14ac:dyDescent="0.3">
      <c r="B117" s="389"/>
      <c r="C117" s="401" t="s">
        <v>261</v>
      </c>
      <c r="D117" s="428"/>
      <c r="E117" s="444"/>
      <c r="F117" s="444"/>
      <c r="G117" s="443"/>
      <c r="H117" s="444"/>
    </row>
    <row r="118" spans="2:8" ht="15" thickBot="1" x14ac:dyDescent="0.35">
      <c r="B118" s="393"/>
      <c r="C118" s="402" t="s">
        <v>257</v>
      </c>
      <c r="D118" s="414"/>
      <c r="E118" s="444"/>
      <c r="F118" s="444"/>
      <c r="G118" s="443"/>
      <c r="H118" s="444"/>
    </row>
    <row r="119" spans="2:8" x14ac:dyDescent="0.3">
      <c r="B119" s="389" t="s">
        <v>336</v>
      </c>
      <c r="C119" s="401" t="s">
        <v>260</v>
      </c>
      <c r="D119" s="428"/>
      <c r="E119" s="444"/>
      <c r="F119" s="444"/>
      <c r="G119" s="443"/>
      <c r="H119" s="444"/>
    </row>
    <row r="120" spans="2:8" x14ac:dyDescent="0.3">
      <c r="B120" s="389"/>
      <c r="C120" s="401" t="s">
        <v>261</v>
      </c>
      <c r="D120" s="428"/>
      <c r="E120" s="444"/>
      <c r="F120" s="444"/>
      <c r="G120" s="443"/>
      <c r="H120" s="444"/>
    </row>
    <row r="121" spans="2:8" ht="15" thickBot="1" x14ac:dyDescent="0.35">
      <c r="B121" s="393"/>
      <c r="C121" s="402" t="s">
        <v>257</v>
      </c>
      <c r="D121" s="414"/>
      <c r="E121" s="444"/>
      <c r="F121" s="444"/>
      <c r="G121" s="443"/>
      <c r="H121" s="444"/>
    </row>
    <row r="122" spans="2:8" x14ac:dyDescent="0.3">
      <c r="B122" s="389" t="s">
        <v>349</v>
      </c>
      <c r="C122" s="401" t="s">
        <v>260</v>
      </c>
      <c r="D122" s="428"/>
      <c r="E122" s="444"/>
      <c r="F122" s="444"/>
      <c r="G122" s="443"/>
      <c r="H122" s="444"/>
    </row>
    <row r="123" spans="2:8" x14ac:dyDescent="0.3">
      <c r="B123" s="389"/>
      <c r="C123" s="401" t="s">
        <v>261</v>
      </c>
      <c r="D123" s="428"/>
      <c r="E123" s="444"/>
      <c r="F123" s="444"/>
      <c r="G123" s="443"/>
      <c r="H123" s="444"/>
    </row>
    <row r="124" spans="2:8" ht="15" thickBot="1" x14ac:dyDescent="0.35">
      <c r="B124" s="393"/>
      <c r="C124" s="402" t="s">
        <v>257</v>
      </c>
      <c r="D124" s="424"/>
      <c r="E124" s="444"/>
      <c r="F124" s="444"/>
      <c r="G124" s="443"/>
      <c r="H124" s="444"/>
    </row>
    <row r="125" spans="2:8" x14ac:dyDescent="0.3">
      <c r="B125" s="389" t="s">
        <v>341</v>
      </c>
      <c r="C125" s="401" t="s">
        <v>260</v>
      </c>
      <c r="D125" s="428"/>
      <c r="E125" s="444"/>
      <c r="F125" s="444"/>
      <c r="G125" s="443"/>
      <c r="H125" s="444"/>
    </row>
    <row r="126" spans="2:8" x14ac:dyDescent="0.3">
      <c r="B126" s="389"/>
      <c r="C126" s="401" t="s">
        <v>261</v>
      </c>
      <c r="D126" s="428"/>
      <c r="E126" s="444"/>
      <c r="F126" s="444"/>
      <c r="G126" s="443"/>
      <c r="H126" s="444"/>
    </row>
    <row r="127" spans="2:8" ht="15" thickBot="1" x14ac:dyDescent="0.35">
      <c r="B127" s="393"/>
      <c r="C127" s="402" t="s">
        <v>257</v>
      </c>
      <c r="D127" s="424"/>
      <c r="E127" s="444"/>
      <c r="F127" s="444"/>
      <c r="G127" s="443"/>
      <c r="H127" s="444"/>
    </row>
    <row r="128" spans="2:8" x14ac:dyDescent="0.3">
      <c r="B128" s="389" t="s">
        <v>337</v>
      </c>
      <c r="C128" s="401" t="s">
        <v>260</v>
      </c>
      <c r="D128" s="428"/>
      <c r="E128" s="444"/>
      <c r="F128" s="444"/>
      <c r="G128" s="443"/>
      <c r="H128" s="444"/>
    </row>
    <row r="129" spans="2:8" x14ac:dyDescent="0.3">
      <c r="B129" s="389"/>
      <c r="C129" s="401" t="s">
        <v>261</v>
      </c>
      <c r="D129" s="428"/>
      <c r="E129" s="444"/>
      <c r="F129" s="444"/>
      <c r="G129" s="443"/>
      <c r="H129" s="444"/>
    </row>
    <row r="130" spans="2:8" ht="15" thickBot="1" x14ac:dyDescent="0.35">
      <c r="B130" s="393"/>
      <c r="C130" s="402" t="s">
        <v>257</v>
      </c>
      <c r="D130" s="424"/>
      <c r="E130" s="444"/>
      <c r="F130" s="444"/>
      <c r="G130" s="443"/>
      <c r="H130" s="444"/>
    </row>
    <row r="131" spans="2:8" x14ac:dyDescent="0.3">
      <c r="B131" s="389" t="s">
        <v>11</v>
      </c>
      <c r="C131" s="401" t="s">
        <v>260</v>
      </c>
      <c r="D131" s="428"/>
      <c r="E131" s="444"/>
      <c r="F131" s="444"/>
      <c r="G131" s="443"/>
      <c r="H131" s="444"/>
    </row>
    <row r="132" spans="2:8" x14ac:dyDescent="0.3">
      <c r="B132" s="389"/>
      <c r="C132" s="401" t="s">
        <v>261</v>
      </c>
      <c r="D132" s="428"/>
      <c r="E132" s="444"/>
      <c r="F132" s="444"/>
      <c r="G132" s="443"/>
      <c r="H132" s="444"/>
    </row>
    <row r="133" spans="2:8" ht="15" thickBot="1" x14ac:dyDescent="0.35">
      <c r="B133" s="393"/>
      <c r="C133" s="402" t="s">
        <v>257</v>
      </c>
      <c r="D133" s="424"/>
      <c r="E133" s="444"/>
      <c r="F133" s="444"/>
      <c r="G133" s="443"/>
      <c r="H133" s="444"/>
    </row>
    <row r="134" spans="2:8" x14ac:dyDescent="0.3">
      <c r="B134" s="389" t="s">
        <v>350</v>
      </c>
      <c r="C134" s="401" t="s">
        <v>260</v>
      </c>
      <c r="D134" s="428"/>
      <c r="E134" s="444"/>
      <c r="F134" s="444"/>
      <c r="G134" s="443"/>
      <c r="H134" s="444"/>
    </row>
    <row r="135" spans="2:8" x14ac:dyDescent="0.3">
      <c r="B135" s="389"/>
      <c r="C135" s="401" t="s">
        <v>261</v>
      </c>
      <c r="D135" s="428"/>
      <c r="E135" s="444"/>
      <c r="F135" s="444"/>
      <c r="G135" s="443"/>
      <c r="H135" s="444"/>
    </row>
    <row r="136" spans="2:8" ht="15" thickBot="1" x14ac:dyDescent="0.35">
      <c r="B136" s="393"/>
      <c r="C136" s="402" t="s">
        <v>257</v>
      </c>
      <c r="D136" s="424"/>
      <c r="E136" s="444"/>
      <c r="F136" s="444"/>
      <c r="G136" s="443"/>
      <c r="H136" s="444"/>
    </row>
    <row r="137" spans="2:8" x14ac:dyDescent="0.3">
      <c r="B137" s="389" t="s">
        <v>351</v>
      </c>
      <c r="C137" s="401" t="s">
        <v>260</v>
      </c>
      <c r="D137" s="428"/>
      <c r="E137" s="444"/>
      <c r="F137" s="444"/>
      <c r="G137" s="443"/>
      <c r="H137" s="444"/>
    </row>
    <row r="138" spans="2:8" x14ac:dyDescent="0.3">
      <c r="B138" s="389"/>
      <c r="C138" s="401" t="s">
        <v>261</v>
      </c>
      <c r="D138" s="428"/>
      <c r="E138" s="444"/>
      <c r="F138" s="444"/>
      <c r="G138" s="443"/>
      <c r="H138" s="444"/>
    </row>
    <row r="139" spans="2:8" ht="15" thickBot="1" x14ac:dyDescent="0.35">
      <c r="B139" s="393"/>
      <c r="C139" s="402" t="s">
        <v>257</v>
      </c>
      <c r="D139" s="424"/>
      <c r="E139" s="444"/>
      <c r="F139" s="444"/>
      <c r="G139" s="443"/>
      <c r="H139" s="444"/>
    </row>
    <row r="140" spans="2:8" x14ac:dyDescent="0.3">
      <c r="B140" s="389" t="s">
        <v>352</v>
      </c>
      <c r="C140" s="401" t="s">
        <v>260</v>
      </c>
      <c r="D140" s="428"/>
      <c r="E140" s="444"/>
      <c r="F140" s="444"/>
      <c r="G140" s="443"/>
      <c r="H140" s="444"/>
    </row>
    <row r="141" spans="2:8" x14ac:dyDescent="0.3">
      <c r="B141" s="389"/>
      <c r="C141" s="401" t="s">
        <v>261</v>
      </c>
      <c r="D141" s="428"/>
      <c r="E141" s="444"/>
      <c r="F141" s="444"/>
      <c r="G141" s="443"/>
      <c r="H141" s="444"/>
    </row>
    <row r="142" spans="2:8" ht="15" thickBot="1" x14ac:dyDescent="0.35">
      <c r="B142" s="393"/>
      <c r="C142" s="402" t="s">
        <v>257</v>
      </c>
      <c r="D142" s="424"/>
      <c r="E142" s="444"/>
      <c r="F142" s="444"/>
      <c r="G142" s="443"/>
      <c r="H142" s="444"/>
    </row>
    <row r="143" spans="2:8" x14ac:dyDescent="0.3">
      <c r="B143" s="389" t="s">
        <v>353</v>
      </c>
      <c r="C143" s="401" t="s">
        <v>260</v>
      </c>
      <c r="D143" s="428"/>
      <c r="E143" s="444"/>
      <c r="F143" s="444"/>
      <c r="G143" s="443"/>
      <c r="H143" s="444"/>
    </row>
    <row r="144" spans="2:8" x14ac:dyDescent="0.3">
      <c r="B144" s="389"/>
      <c r="C144" s="401" t="s">
        <v>261</v>
      </c>
      <c r="D144" s="428"/>
      <c r="E144" s="444"/>
      <c r="F144" s="444"/>
      <c r="G144" s="443"/>
      <c r="H144" s="444"/>
    </row>
    <row r="145" spans="2:8" ht="15" thickBot="1" x14ac:dyDescent="0.35">
      <c r="B145" s="393"/>
      <c r="C145" s="402" t="s">
        <v>257</v>
      </c>
      <c r="D145" s="424"/>
      <c r="E145" s="444"/>
      <c r="F145" s="444"/>
      <c r="G145" s="443"/>
      <c r="H145" s="444"/>
    </row>
    <row r="146" spans="2:8" x14ac:dyDescent="0.3">
      <c r="B146" s="446" t="s">
        <v>258</v>
      </c>
      <c r="C146" s="389" t="s">
        <v>255</v>
      </c>
      <c r="D146" s="428">
        <f>SUM(D101,D104,D107,D110,D113,D116,D119,D122,D125,D128,D131,D134,D137,D140,D143)</f>
        <v>0</v>
      </c>
      <c r="E146" s="444"/>
      <c r="F146" s="444"/>
      <c r="G146" s="443"/>
      <c r="H146" s="444"/>
    </row>
    <row r="147" spans="2:8" x14ac:dyDescent="0.3">
      <c r="B147" s="389"/>
      <c r="C147" s="389" t="s">
        <v>256</v>
      </c>
      <c r="D147" s="428">
        <f>SUM(D102,D105,D108,D111,D114,D117,D120,D123,D126,D129,D132,D135,D138,D141,D144)</f>
        <v>0</v>
      </c>
      <c r="E147" s="444"/>
      <c r="F147" s="444"/>
      <c r="G147" s="443"/>
      <c r="H147" s="444"/>
    </row>
    <row r="148" spans="2:8" ht="15" thickBot="1" x14ac:dyDescent="0.35">
      <c r="B148" s="393"/>
      <c r="C148" s="394" t="s">
        <v>257</v>
      </c>
      <c r="D148" s="424">
        <f>SUM(D103,D106,D109,D112,D115,D118,D121,D124,D127,D130,D133,D136,D139,D142,D145)</f>
        <v>0</v>
      </c>
      <c r="E148" s="444"/>
      <c r="F148" s="444"/>
      <c r="G148" s="443"/>
      <c r="H148" s="444"/>
    </row>
    <row r="149" spans="2:8" x14ac:dyDescent="0.3">
      <c r="E149" s="444"/>
      <c r="F149" s="444"/>
      <c r="G149" s="443"/>
      <c r="H149" s="444"/>
    </row>
    <row r="150" spans="2:8" ht="15" thickBot="1" x14ac:dyDescent="0.35">
      <c r="E150" s="444"/>
      <c r="F150" s="444"/>
      <c r="G150" s="443"/>
      <c r="H150" s="444"/>
    </row>
    <row r="151" spans="2:8" ht="15" thickBot="1" x14ac:dyDescent="0.35">
      <c r="D151" s="479" t="s">
        <v>262</v>
      </c>
      <c r="E151" s="444"/>
      <c r="F151" s="444"/>
      <c r="G151" s="443"/>
      <c r="H151" s="444"/>
    </row>
    <row r="152" spans="2:8" ht="15" thickBot="1" x14ac:dyDescent="0.35">
      <c r="D152" s="477">
        <v>2025</v>
      </c>
      <c r="E152" s="444"/>
      <c r="F152" s="444"/>
      <c r="G152" s="443"/>
      <c r="H152" s="444"/>
    </row>
    <row r="153" spans="2:8" ht="15" thickBot="1" x14ac:dyDescent="0.35">
      <c r="C153" s="447" t="s">
        <v>223</v>
      </c>
      <c r="D153" s="478" t="s">
        <v>232</v>
      </c>
      <c r="E153" s="444"/>
      <c r="F153" s="444"/>
      <c r="G153" s="443"/>
      <c r="H153" s="444"/>
    </row>
    <row r="154" spans="2:8" x14ac:dyDescent="0.3">
      <c r="C154" s="389" t="s">
        <v>343</v>
      </c>
      <c r="D154" s="427">
        <f>SUM(D51,D103)</f>
        <v>0</v>
      </c>
      <c r="E154" s="444"/>
      <c r="F154" s="444"/>
      <c r="G154" s="443"/>
      <c r="H154" s="444"/>
    </row>
    <row r="155" spans="2:8" x14ac:dyDescent="0.3">
      <c r="C155" s="389" t="s">
        <v>7</v>
      </c>
      <c r="D155" s="428">
        <f>SUM(D54,D106)</f>
        <v>0</v>
      </c>
      <c r="E155" s="444"/>
      <c r="F155" s="444"/>
      <c r="G155" s="443"/>
      <c r="H155" s="444"/>
    </row>
    <row r="156" spans="2:8" x14ac:dyDescent="0.3">
      <c r="C156" s="389" t="s">
        <v>8</v>
      </c>
      <c r="D156" s="428">
        <f t="shared" ref="D156:D168" si="11">SUM(D55,D107)</f>
        <v>0</v>
      </c>
      <c r="E156" s="444"/>
      <c r="F156" s="444"/>
      <c r="G156" s="443"/>
      <c r="H156" s="444"/>
    </row>
    <row r="157" spans="2:8" ht="28.8" x14ac:dyDescent="0.3">
      <c r="C157" s="448" t="s">
        <v>9</v>
      </c>
      <c r="D157" s="428">
        <f t="shared" si="11"/>
        <v>0</v>
      </c>
      <c r="E157" s="444"/>
      <c r="F157" s="444"/>
      <c r="G157" s="443"/>
      <c r="H157" s="444"/>
    </row>
    <row r="158" spans="2:8" x14ac:dyDescent="0.3">
      <c r="C158" s="389" t="s">
        <v>335</v>
      </c>
      <c r="D158" s="428">
        <f t="shared" si="11"/>
        <v>0</v>
      </c>
      <c r="E158" s="444"/>
      <c r="F158" s="444"/>
      <c r="G158" s="443"/>
      <c r="H158" s="444"/>
    </row>
    <row r="159" spans="2:8" x14ac:dyDescent="0.3">
      <c r="C159" s="389" t="s">
        <v>10</v>
      </c>
      <c r="D159" s="428">
        <f t="shared" si="11"/>
        <v>0</v>
      </c>
      <c r="E159" s="444"/>
      <c r="F159" s="444"/>
      <c r="G159" s="443"/>
      <c r="H159" s="444"/>
    </row>
    <row r="160" spans="2:8" x14ac:dyDescent="0.3">
      <c r="C160" s="389" t="s">
        <v>336</v>
      </c>
      <c r="D160" s="428">
        <f t="shared" si="11"/>
        <v>0</v>
      </c>
      <c r="E160" s="444"/>
      <c r="F160" s="444"/>
      <c r="G160" s="443"/>
      <c r="H160" s="444"/>
    </row>
    <row r="161" spans="3:8" x14ac:dyDescent="0.3">
      <c r="C161" s="389" t="s">
        <v>349</v>
      </c>
      <c r="D161" s="428">
        <f t="shared" si="11"/>
        <v>0</v>
      </c>
      <c r="E161" s="444"/>
      <c r="F161" s="444"/>
      <c r="G161" s="443"/>
      <c r="H161" s="444"/>
    </row>
    <row r="162" spans="3:8" x14ac:dyDescent="0.3">
      <c r="C162" s="389" t="s">
        <v>341</v>
      </c>
      <c r="D162" s="428">
        <f t="shared" si="11"/>
        <v>0</v>
      </c>
      <c r="E162" s="444"/>
      <c r="F162" s="444"/>
      <c r="G162" s="443"/>
      <c r="H162" s="444"/>
    </row>
    <row r="163" spans="3:8" x14ac:dyDescent="0.3">
      <c r="C163" s="389" t="s">
        <v>337</v>
      </c>
      <c r="D163" s="428">
        <f t="shared" si="11"/>
        <v>0</v>
      </c>
      <c r="E163" s="444"/>
      <c r="F163" s="444"/>
      <c r="G163" s="443"/>
      <c r="H163" s="444"/>
    </row>
    <row r="164" spans="3:8" x14ac:dyDescent="0.3">
      <c r="C164" s="389" t="s">
        <v>11</v>
      </c>
      <c r="D164" s="428">
        <f t="shared" si="11"/>
        <v>0</v>
      </c>
      <c r="E164" s="444"/>
      <c r="F164" s="444"/>
      <c r="G164" s="443"/>
      <c r="H164" s="444"/>
    </row>
    <row r="165" spans="3:8" x14ac:dyDescent="0.3">
      <c r="C165" s="389" t="s">
        <v>350</v>
      </c>
      <c r="D165" s="428">
        <f t="shared" si="11"/>
        <v>0</v>
      </c>
      <c r="E165" s="444"/>
      <c r="F165" s="444"/>
      <c r="G165" s="443"/>
      <c r="H165" s="444"/>
    </row>
    <row r="166" spans="3:8" x14ac:dyDescent="0.3">
      <c r="C166" s="389" t="s">
        <v>351</v>
      </c>
      <c r="D166" s="428">
        <f t="shared" si="11"/>
        <v>0</v>
      </c>
      <c r="E166" s="444"/>
      <c r="F166" s="444"/>
      <c r="G166" s="443"/>
      <c r="H166" s="444"/>
    </row>
    <row r="167" spans="3:8" x14ac:dyDescent="0.3">
      <c r="C167" s="389" t="s">
        <v>352</v>
      </c>
      <c r="D167" s="428">
        <f t="shared" si="11"/>
        <v>0</v>
      </c>
      <c r="E167" s="444"/>
      <c r="F167" s="444"/>
      <c r="G167" s="443"/>
      <c r="H167" s="444"/>
    </row>
    <row r="168" spans="3:8" x14ac:dyDescent="0.3">
      <c r="C168" s="389" t="s">
        <v>353</v>
      </c>
      <c r="D168" s="428">
        <f t="shared" si="11"/>
        <v>0</v>
      </c>
      <c r="E168" s="444"/>
      <c r="F168" s="444"/>
      <c r="G168" s="443"/>
      <c r="H168" s="444"/>
    </row>
    <row r="169" spans="3:8" ht="15" thickBot="1" x14ac:dyDescent="0.35">
      <c r="C169" s="394" t="s">
        <v>258</v>
      </c>
      <c r="D169" s="480">
        <f>SUM(D154:D168)</f>
        <v>0</v>
      </c>
      <c r="E169" s="444"/>
      <c r="F169" s="444"/>
      <c r="G169" s="443"/>
      <c r="H169" s="444"/>
    </row>
    <row r="170" spans="3:8" x14ac:dyDescent="0.3">
      <c r="E170" s="444"/>
      <c r="F170" s="444"/>
      <c r="G170" s="443"/>
      <c r="H170" s="444"/>
    </row>
  </sheetData>
  <autoFilter ref="B8:L30" xr:uid="{00000000-0009-0000-0000-000010000000}"/>
  <mergeCells count="4">
    <mergeCell ref="D6:L6"/>
    <mergeCell ref="D7:F7"/>
    <mergeCell ref="G7:I7"/>
    <mergeCell ref="J7:L7"/>
  </mergeCells>
  <printOptions gridLines="1"/>
  <pageMargins left="0.7" right="0.7" top="0.75" bottom="0.75" header="0.3" footer="0.3"/>
  <pageSetup scale="2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pageSetUpPr fitToPage="1"/>
  </sheetPr>
  <dimension ref="A1:AI169"/>
  <sheetViews>
    <sheetView topLeftCell="A7" zoomScale="75" zoomScaleNormal="75" workbookViewId="0">
      <selection activeCell="G20" sqref="G20"/>
    </sheetView>
  </sheetViews>
  <sheetFormatPr defaultColWidth="9.109375" defaultRowHeight="14.4" x14ac:dyDescent="0.3"/>
  <cols>
    <col min="1" max="1" width="23.33203125" style="123" customWidth="1"/>
    <col min="2" max="2" width="53.5546875" style="123" customWidth="1"/>
    <col min="3" max="3" width="32.109375" style="123" customWidth="1"/>
    <col min="4" max="4" width="16.6640625" style="123" customWidth="1"/>
    <col min="5" max="5" width="23.44140625" style="123" bestFit="1" customWidth="1"/>
    <col min="6" max="6" width="21.6640625" style="123" customWidth="1"/>
    <col min="7" max="10" width="15.6640625" style="123" customWidth="1"/>
    <col min="11" max="11" width="17" style="123" customWidth="1"/>
    <col min="12" max="12" width="15.6640625" style="123" customWidth="1"/>
    <col min="13" max="19" width="16.6640625" style="123" customWidth="1"/>
    <col min="20" max="20" width="17.44140625" style="123" customWidth="1"/>
    <col min="21" max="21" width="17.88671875" style="123" customWidth="1"/>
    <col min="22" max="23" width="16.6640625" style="123" customWidth="1"/>
    <col min="24" max="24" width="17.6640625" style="123" customWidth="1"/>
    <col min="25" max="30" width="16.6640625" style="123" customWidth="1"/>
    <col min="31" max="35" width="9.6640625" style="123" customWidth="1"/>
    <col min="36" max="37" width="10.6640625" style="123" customWidth="1"/>
    <col min="38" max="16384" width="9.109375" style="123"/>
  </cols>
  <sheetData>
    <row r="1" spans="1:35" x14ac:dyDescent="0.3">
      <c r="A1" s="59" t="s">
        <v>244</v>
      </c>
      <c r="B1" s="59" t="s">
        <v>348</v>
      </c>
      <c r="D1" s="250" t="s">
        <v>2</v>
      </c>
      <c r="E1" s="250" t="s">
        <v>69</v>
      </c>
      <c r="G1" s="56"/>
      <c r="H1" s="56"/>
      <c r="I1" s="56"/>
      <c r="J1" s="56"/>
      <c r="K1" s="56"/>
      <c r="L1" s="56"/>
      <c r="M1" s="1"/>
    </row>
    <row r="2" spans="1:35" x14ac:dyDescent="0.3">
      <c r="A2" s="59"/>
      <c r="B2" s="56"/>
      <c r="D2" s="250" t="s">
        <v>43</v>
      </c>
      <c r="E2" s="265" t="s">
        <v>332</v>
      </c>
      <c r="G2" s="56"/>
      <c r="H2" s="56"/>
      <c r="I2" s="56"/>
      <c r="J2" s="56"/>
      <c r="K2" s="56"/>
      <c r="L2" s="56"/>
      <c r="M2" s="1"/>
    </row>
    <row r="3" spans="1:35" x14ac:dyDescent="0.3">
      <c r="A3" s="72"/>
      <c r="B3" s="72"/>
      <c r="C3" s="72"/>
      <c r="D3" s="72"/>
      <c r="E3" s="72"/>
      <c r="G3" s="72"/>
      <c r="H3" s="72"/>
      <c r="I3" s="72"/>
      <c r="J3" s="72"/>
      <c r="K3" s="72"/>
      <c r="L3" s="72"/>
      <c r="Q3" s="26"/>
      <c r="R3" s="26"/>
      <c r="S3" s="26"/>
      <c r="T3" s="26"/>
      <c r="U3" s="26"/>
      <c r="V3" s="26"/>
    </row>
    <row r="4" spans="1:35" ht="16.5" customHeight="1" x14ac:dyDescent="0.3">
      <c r="A4" s="340" t="s">
        <v>245</v>
      </c>
      <c r="B4" s="57"/>
      <c r="C4" s="57"/>
      <c r="D4" s="57"/>
      <c r="E4" s="57"/>
      <c r="G4" s="57"/>
      <c r="H4" s="57"/>
      <c r="I4" s="57"/>
      <c r="J4" s="57"/>
      <c r="K4" s="57"/>
      <c r="L4" s="113"/>
      <c r="M4" s="124"/>
      <c r="N4" s="124"/>
      <c r="O4" s="124"/>
      <c r="P4" s="124"/>
      <c r="Q4" s="124"/>
      <c r="R4" s="124"/>
      <c r="S4" s="124"/>
      <c r="T4" s="124"/>
      <c r="U4" s="124"/>
      <c r="V4" s="124"/>
      <c r="W4" s="124"/>
      <c r="X4" s="124"/>
      <c r="Y4" s="124"/>
      <c r="Z4" s="130"/>
      <c r="AA4" s="130"/>
      <c r="AB4" s="63"/>
      <c r="AC4" s="63"/>
      <c r="AD4" s="130"/>
      <c r="AE4" s="130"/>
      <c r="AF4" s="130"/>
      <c r="AG4" s="130"/>
      <c r="AH4" s="130"/>
      <c r="AI4" s="130"/>
    </row>
    <row r="5" spans="1:35" ht="16.5" customHeight="1" thickBot="1" x14ac:dyDescent="0.35">
      <c r="A5" s="418" t="s">
        <v>222</v>
      </c>
      <c r="B5" s="57"/>
      <c r="C5" s="57"/>
      <c r="D5" s="57"/>
      <c r="E5" s="57"/>
      <c r="G5" s="57"/>
      <c r="H5" s="57"/>
      <c r="I5" s="57"/>
      <c r="J5" s="57"/>
      <c r="K5" s="57"/>
      <c r="L5" s="113"/>
      <c r="M5" s="124"/>
      <c r="N5" s="124"/>
      <c r="O5" s="124"/>
      <c r="P5" s="124"/>
      <c r="Q5" s="124"/>
      <c r="R5" s="124"/>
      <c r="S5" s="124"/>
      <c r="T5" s="124"/>
      <c r="U5" s="124"/>
      <c r="V5" s="124"/>
      <c r="W5" s="124"/>
      <c r="X5" s="124"/>
      <c r="Y5" s="124"/>
      <c r="Z5" s="130"/>
      <c r="AA5" s="130"/>
      <c r="AB5" s="63"/>
      <c r="AC5" s="63"/>
      <c r="AD5" s="130"/>
      <c r="AE5" s="130"/>
      <c r="AF5" s="130"/>
      <c r="AG5" s="130"/>
      <c r="AH5" s="130"/>
      <c r="AI5" s="130"/>
    </row>
    <row r="6" spans="1:35" ht="15" customHeight="1" thickBot="1" x14ac:dyDescent="0.35">
      <c r="B6" s="190"/>
      <c r="C6" s="190"/>
      <c r="D6" s="983" t="s">
        <v>334</v>
      </c>
      <c r="E6" s="984"/>
      <c r="F6" s="984"/>
      <c r="G6" s="984"/>
      <c r="H6" s="984"/>
      <c r="I6" s="984"/>
      <c r="J6" s="984"/>
      <c r="K6" s="984"/>
      <c r="L6" s="985"/>
      <c r="M6" s="2"/>
      <c r="N6" s="2"/>
      <c r="O6" s="2"/>
      <c r="P6" s="2"/>
      <c r="Q6" s="2"/>
    </row>
    <row r="7" spans="1:35" ht="15" customHeight="1" thickBot="1" x14ac:dyDescent="0.35">
      <c r="B7" s="190"/>
      <c r="C7" s="190"/>
      <c r="D7" s="986" t="s">
        <v>231</v>
      </c>
      <c r="E7" s="987"/>
      <c r="F7" s="988"/>
      <c r="G7" s="986" t="s">
        <v>232</v>
      </c>
      <c r="H7" s="987"/>
      <c r="I7" s="987"/>
      <c r="J7" s="989" t="s">
        <v>233</v>
      </c>
      <c r="K7" s="990"/>
      <c r="L7" s="991"/>
      <c r="M7" s="2"/>
      <c r="N7" s="2"/>
      <c r="O7" s="2"/>
      <c r="P7" s="2"/>
      <c r="Q7" s="2"/>
    </row>
    <row r="8" spans="1:35" ht="90" customHeight="1" thickBot="1" x14ac:dyDescent="0.35">
      <c r="A8" s="360" t="s">
        <v>2</v>
      </c>
      <c r="B8" s="121" t="s">
        <v>223</v>
      </c>
      <c r="C8" s="121" t="s">
        <v>224</v>
      </c>
      <c r="D8" s="41" t="s">
        <v>234</v>
      </c>
      <c r="E8" s="43" t="s">
        <v>246</v>
      </c>
      <c r="F8" s="42" t="s">
        <v>236</v>
      </c>
      <c r="G8" s="268" t="s">
        <v>225</v>
      </c>
      <c r="H8" s="373" t="s">
        <v>247</v>
      </c>
      <c r="I8" s="269" t="s">
        <v>248</v>
      </c>
      <c r="J8" s="41" t="s">
        <v>249</v>
      </c>
      <c r="K8" s="43" t="s">
        <v>250</v>
      </c>
      <c r="L8" s="42" t="s">
        <v>251</v>
      </c>
      <c r="M8" s="2"/>
      <c r="N8" s="2"/>
    </row>
    <row r="9" spans="1:35" ht="15" customHeight="1" x14ac:dyDescent="0.3">
      <c r="A9" s="44" t="str">
        <f>$E$1</f>
        <v>Unitil</v>
      </c>
      <c r="B9" s="450" t="s">
        <v>355</v>
      </c>
      <c r="C9" s="453" t="s">
        <v>361</v>
      </c>
      <c r="D9" s="272">
        <f>SUM('5a. Spending- 2022 Report '!D9+'5a. Spending- 2022 Report '!M9+'5a. Spending- 2022 Report '!P9+'5a. Spending- 2022 Report '!S9)</f>
        <v>7</v>
      </c>
      <c r="E9" s="270">
        <f>SUM('5a. Spending- 2022 Report '!E9+'5a. Spending- 2022 Report '!N9+'5a. Spending- 2022 Report '!Q9+'5a. Spending- 2022 Report '!T9)</f>
        <v>1129000</v>
      </c>
      <c r="F9" s="271">
        <f>SUM('5a. Spending- 2022 Report '!F9+'5a. Spending- 2022 Report '!O9+'5a. Spending- 2022 Report '!R9+'5a. Spending- 2022 Report '!U9)</f>
        <v>1129000</v>
      </c>
      <c r="G9" s="272">
        <f>'5a. Spending- 2022 Report '!G9+'5b. Spending- 2023 Report'!G9+'5c. Spending- 2024 Report'!G9+'5d. Spending - 2025 Report'!G9</f>
        <v>4</v>
      </c>
      <c r="H9" s="270">
        <f>'5a. Spending- 2022 Report '!H9+'5b. Spending- 2023 Report'!H9+'5c. Spending- 2024 Report'!H9+'5d. Spending - 2025 Report'!H9</f>
        <v>310206.56</v>
      </c>
      <c r="I9" s="271">
        <f>'5a. Spending- 2022 Report '!I9+'5b. Spending- 2023 Report'!I9+'5c. Spending- 2024 Report'!I9+'5d. Spending - 2025 Report'!I9</f>
        <v>241793.97</v>
      </c>
      <c r="J9" s="374">
        <f>IFERROR(((G9-D9)/D9),0)</f>
        <v>-0.42857142857142855</v>
      </c>
      <c r="K9" s="375">
        <f>IFERROR(((H9-E9)/E9),0)</f>
        <v>-0.72523776793622674</v>
      </c>
      <c r="L9" s="376">
        <f>IFERROR(((I9-F9)/F9),0)</f>
        <v>-0.78583350752878656</v>
      </c>
      <c r="O9" s="110"/>
    </row>
    <row r="10" spans="1:35" ht="15.6" x14ac:dyDescent="0.3">
      <c r="A10" s="45" t="str">
        <f t="shared" ref="A10:A42" si="0">$E$1</f>
        <v>Unitil</v>
      </c>
      <c r="B10" s="451" t="s">
        <v>355</v>
      </c>
      <c r="C10" s="454" t="s">
        <v>356</v>
      </c>
      <c r="D10" s="273">
        <f>SUM('5a. Spending- 2022 Report '!D10+'5a. Spending- 2022 Report '!M10+'5a. Spending- 2022 Report '!P10+'5a. Spending- 2022 Report '!S10)</f>
        <v>2</v>
      </c>
      <c r="E10" s="274">
        <f>SUM('5a. Spending- 2022 Report '!E10+'5a. Spending- 2022 Report '!N10+'5a. Spending- 2022 Report '!Q10+'5a. Spending- 2022 Report '!T10)</f>
        <v>219000</v>
      </c>
      <c r="F10" s="275">
        <f>SUM('5a. Spending- 2022 Report '!F10+'5a. Spending- 2022 Report '!O10+'5a. Spending- 2022 Report '!R10+'5a. Spending- 2022 Report '!U10)</f>
        <v>219000</v>
      </c>
      <c r="G10" s="273">
        <f>'5a. Spending- 2022 Report '!G10+'5b. Spending- 2023 Report'!G10+'5c. Spending- 2024 Report'!G10+'5d. Spending - 2025 Report'!G10</f>
        <v>0</v>
      </c>
      <c r="H10" s="274">
        <f>'5a. Spending- 2022 Report '!H10+'5b. Spending- 2023 Report'!H10+'5c. Spending- 2024 Report'!H10+'5d. Spending - 2025 Report'!H10</f>
        <v>0</v>
      </c>
      <c r="I10" s="275">
        <f>'5a. Spending- 2022 Report '!I10+'5b. Spending- 2023 Report'!I10+'5c. Spending- 2024 Report'!I10+'5d. Spending - 2025 Report'!I10</f>
        <v>0</v>
      </c>
      <c r="J10" s="377">
        <f t="shared" ref="J10:J35" si="1">IFERROR(((G10-D10)/D10),0)</f>
        <v>-1</v>
      </c>
      <c r="K10" s="378">
        <f t="shared" ref="K10:K37" si="2">IFERROR(((H10-E10)/E10),0)</f>
        <v>-1</v>
      </c>
      <c r="L10" s="379">
        <f t="shared" ref="L10:L35" si="3">IFERROR(((I10-F10)/F10),0)</f>
        <v>-1</v>
      </c>
      <c r="O10" s="110"/>
    </row>
    <row r="11" spans="1:35" ht="15.6" x14ac:dyDescent="0.3">
      <c r="A11" s="45" t="str">
        <f t="shared" si="0"/>
        <v>Unitil</v>
      </c>
      <c r="B11" s="451" t="s">
        <v>355</v>
      </c>
      <c r="C11" s="454" t="s">
        <v>364</v>
      </c>
      <c r="D11" s="456"/>
      <c r="E11" s="457"/>
      <c r="F11" s="458"/>
      <c r="G11" s="456"/>
      <c r="H11" s="457"/>
      <c r="I11" s="458"/>
      <c r="J11" s="377">
        <f t="shared" si="1"/>
        <v>0</v>
      </c>
      <c r="K11" s="378">
        <f t="shared" si="2"/>
        <v>0</v>
      </c>
      <c r="L11" s="379">
        <f t="shared" si="3"/>
        <v>0</v>
      </c>
      <c r="O11" s="110"/>
    </row>
    <row r="12" spans="1:35" ht="15.6" x14ac:dyDescent="0.3">
      <c r="A12" s="45" t="str">
        <f t="shared" si="0"/>
        <v>Unitil</v>
      </c>
      <c r="B12" s="451" t="s">
        <v>355</v>
      </c>
      <c r="C12" s="454" t="s">
        <v>365</v>
      </c>
      <c r="D12" s="456"/>
      <c r="E12" s="457"/>
      <c r="F12" s="458"/>
      <c r="G12" s="456"/>
      <c r="H12" s="457"/>
      <c r="I12" s="458"/>
      <c r="J12" s="377">
        <f t="shared" si="1"/>
        <v>0</v>
      </c>
      <c r="K12" s="378">
        <f t="shared" si="2"/>
        <v>0</v>
      </c>
      <c r="L12" s="379">
        <f t="shared" si="3"/>
        <v>0</v>
      </c>
      <c r="O12" s="110"/>
    </row>
    <row r="13" spans="1:35" ht="15.6" x14ac:dyDescent="0.3">
      <c r="A13" s="45" t="str">
        <f t="shared" si="0"/>
        <v>Unitil</v>
      </c>
      <c r="B13" s="451" t="s">
        <v>366</v>
      </c>
      <c r="C13" s="454" t="s">
        <v>367</v>
      </c>
      <c r="D13" s="456"/>
      <c r="E13" s="457"/>
      <c r="F13" s="458"/>
      <c r="G13" s="456"/>
      <c r="H13" s="457"/>
      <c r="I13" s="458"/>
      <c r="J13" s="377">
        <f t="shared" si="1"/>
        <v>0</v>
      </c>
      <c r="K13" s="378">
        <f t="shared" si="2"/>
        <v>0</v>
      </c>
      <c r="L13" s="379">
        <f t="shared" si="3"/>
        <v>0</v>
      </c>
      <c r="O13" s="110"/>
    </row>
    <row r="14" spans="1:35" ht="15.6" x14ac:dyDescent="0.3">
      <c r="A14" s="45" t="str">
        <f t="shared" si="0"/>
        <v>Unitil</v>
      </c>
      <c r="B14" s="451" t="s">
        <v>7</v>
      </c>
      <c r="C14" s="454" t="s">
        <v>368</v>
      </c>
      <c r="D14" s="456"/>
      <c r="E14" s="457"/>
      <c r="F14" s="458"/>
      <c r="G14" s="456"/>
      <c r="H14" s="457"/>
      <c r="I14" s="458"/>
      <c r="J14" s="377">
        <f t="shared" si="1"/>
        <v>0</v>
      </c>
      <c r="K14" s="378">
        <f t="shared" si="2"/>
        <v>0</v>
      </c>
      <c r="L14" s="379">
        <f t="shared" si="3"/>
        <v>0</v>
      </c>
      <c r="M14" s="12"/>
      <c r="O14" s="110"/>
    </row>
    <row r="15" spans="1:35" ht="15.6" x14ac:dyDescent="0.3">
      <c r="A15" s="45" t="str">
        <f t="shared" si="0"/>
        <v>Unitil</v>
      </c>
      <c r="B15" s="451" t="s">
        <v>7</v>
      </c>
      <c r="C15" s="454" t="s">
        <v>369</v>
      </c>
      <c r="D15" s="456"/>
      <c r="E15" s="457"/>
      <c r="F15" s="458"/>
      <c r="G15" s="456"/>
      <c r="H15" s="457"/>
      <c r="I15" s="458"/>
      <c r="J15" s="377">
        <f t="shared" si="1"/>
        <v>0</v>
      </c>
      <c r="K15" s="378">
        <f t="shared" si="2"/>
        <v>0</v>
      </c>
      <c r="L15" s="379">
        <f t="shared" si="3"/>
        <v>0</v>
      </c>
      <c r="O15" s="110"/>
    </row>
    <row r="16" spans="1:35" ht="15.6" x14ac:dyDescent="0.3">
      <c r="A16" s="45" t="str">
        <f t="shared" si="0"/>
        <v>Unitil</v>
      </c>
      <c r="B16" s="451" t="s">
        <v>7</v>
      </c>
      <c r="C16" s="454" t="s">
        <v>367</v>
      </c>
      <c r="D16" s="456"/>
      <c r="E16" s="457"/>
      <c r="F16" s="458"/>
      <c r="G16" s="456"/>
      <c r="H16" s="457"/>
      <c r="I16" s="458"/>
      <c r="J16" s="377">
        <f t="shared" si="1"/>
        <v>0</v>
      </c>
      <c r="K16" s="378">
        <f t="shared" si="2"/>
        <v>0</v>
      </c>
      <c r="L16" s="379">
        <f t="shared" si="3"/>
        <v>0</v>
      </c>
      <c r="O16" s="110"/>
    </row>
    <row r="17" spans="1:21" ht="15.6" x14ac:dyDescent="0.3">
      <c r="A17" s="45" t="str">
        <f t="shared" si="0"/>
        <v>Unitil</v>
      </c>
      <c r="B17" s="451" t="s">
        <v>7</v>
      </c>
      <c r="C17" s="454" t="s">
        <v>382</v>
      </c>
      <c r="D17" s="456"/>
      <c r="E17" s="457"/>
      <c r="F17" s="458"/>
      <c r="G17" s="456"/>
      <c r="H17" s="457"/>
      <c r="I17" s="458"/>
      <c r="J17" s="377">
        <f t="shared" ref="J17" si="4">IFERROR(((G17-D17)/D17),0)</f>
        <v>0</v>
      </c>
      <c r="K17" s="378">
        <f t="shared" ref="K17" si="5">IFERROR(((H17-E17)/E17),0)</f>
        <v>0</v>
      </c>
      <c r="L17" s="379">
        <f t="shared" ref="L17" si="6">IFERROR(((I17-F17)/F17),0)</f>
        <v>0</v>
      </c>
      <c r="O17" s="110"/>
    </row>
    <row r="18" spans="1:21" ht="15.6" x14ac:dyDescent="0.3">
      <c r="A18" s="45" t="str">
        <f t="shared" si="0"/>
        <v>Unitil</v>
      </c>
      <c r="B18" s="451" t="s">
        <v>8</v>
      </c>
      <c r="C18" s="454" t="s">
        <v>370</v>
      </c>
      <c r="D18" s="456"/>
      <c r="E18" s="457"/>
      <c r="F18" s="458"/>
      <c r="G18" s="456"/>
      <c r="H18" s="457"/>
      <c r="I18" s="458"/>
      <c r="J18" s="377">
        <f t="shared" si="1"/>
        <v>0</v>
      </c>
      <c r="K18" s="378">
        <f t="shared" si="2"/>
        <v>0</v>
      </c>
      <c r="L18" s="379">
        <f t="shared" si="3"/>
        <v>0</v>
      </c>
      <c r="O18" s="110"/>
    </row>
    <row r="19" spans="1:21" ht="15.6" x14ac:dyDescent="0.3">
      <c r="A19" s="45" t="str">
        <f t="shared" si="0"/>
        <v>Unitil</v>
      </c>
      <c r="B19" s="451" t="s">
        <v>8</v>
      </c>
      <c r="C19" s="454" t="s">
        <v>371</v>
      </c>
      <c r="D19" s="456"/>
      <c r="E19" s="457"/>
      <c r="F19" s="458"/>
      <c r="G19" s="456"/>
      <c r="H19" s="457"/>
      <c r="I19" s="458"/>
      <c r="J19" s="377">
        <f t="shared" si="1"/>
        <v>0</v>
      </c>
      <c r="K19" s="378">
        <f t="shared" si="2"/>
        <v>0</v>
      </c>
      <c r="L19" s="379">
        <f t="shared" si="3"/>
        <v>0</v>
      </c>
      <c r="O19" s="110"/>
    </row>
    <row r="20" spans="1:21" ht="15" customHeight="1" x14ac:dyDescent="0.3">
      <c r="A20" s="45" t="str">
        <f t="shared" si="0"/>
        <v>Unitil</v>
      </c>
      <c r="B20" s="451" t="s">
        <v>8</v>
      </c>
      <c r="C20" s="454" t="s">
        <v>372</v>
      </c>
      <c r="D20" s="481">
        <f>SUM('5a. Spending- 2022 Report '!D20+'5a. Spending- 2022 Report '!M20+'5a. Spending- 2022 Report '!P20+'5a. Spending- 2022 Report '!S20)</f>
        <v>54</v>
      </c>
      <c r="E20" s="482">
        <f>SUM('5a. Spending- 2022 Report '!E20+'5a. Spending- 2022 Report '!N20+'5a. Spending- 2022 Report '!Q20+'5a. Spending- 2022 Report '!T20)</f>
        <v>949000</v>
      </c>
      <c r="F20" s="483">
        <f>SUM('5a. Spending- 2022 Report '!F20+'5a. Spending- 2022 Report '!O20+'5a. Spending- 2022 Report '!R20+'5a. Spending- 2022 Report '!U20)</f>
        <v>949000</v>
      </c>
      <c r="G20" s="481">
        <f>'5a. Spending- 2022 Report '!G20+'5b. Spending- 2023 Report'!G20+'5c. Spending- 2024 Report'!G20+'5d. Spending - 2025 Report'!G20</f>
        <v>31</v>
      </c>
      <c r="H20" s="482">
        <f>'5a. Spending- 2022 Report '!H20+'5b. Spending- 2023 Report'!H20+'5c. Spending- 2024 Report'!H20+'5d. Spending - 2025 Report'!H20</f>
        <v>210762</v>
      </c>
      <c r="I20" s="483">
        <f>'5a. Spending- 2022 Report '!I20+'5b. Spending- 2023 Report'!I20+'5c. Spending- 2024 Report'!I20+'5d. Spending - 2025 Report'!I20</f>
        <v>551317</v>
      </c>
      <c r="J20" s="484">
        <f t="shared" si="1"/>
        <v>-0.42592592592592593</v>
      </c>
      <c r="K20" s="485">
        <f t="shared" si="2"/>
        <v>-0.77791148577449942</v>
      </c>
      <c r="L20" s="486">
        <f t="shared" si="3"/>
        <v>-0.41905479452054795</v>
      </c>
      <c r="M20" s="72"/>
      <c r="N20" s="72"/>
      <c r="O20" s="487"/>
      <c r="P20" s="72"/>
      <c r="Q20" s="72"/>
      <c r="R20" s="72"/>
      <c r="S20" s="72"/>
      <c r="T20" s="72"/>
      <c r="U20" s="72"/>
    </row>
    <row r="21" spans="1:21" ht="15.6" x14ac:dyDescent="0.3">
      <c r="A21" s="45" t="str">
        <f t="shared" si="0"/>
        <v>Unitil</v>
      </c>
      <c r="B21" s="451" t="s">
        <v>8</v>
      </c>
      <c r="C21" s="454" t="s">
        <v>373</v>
      </c>
      <c r="D21" s="273">
        <f>SUM('5a. Spending- 2022 Report '!D21+'5a. Spending- 2022 Report '!M21+'5a. Spending- 2022 Report '!P21+'5a. Spending- 2022 Report '!S21)</f>
        <v>18</v>
      </c>
      <c r="E21" s="274">
        <f>SUM('5a. Spending- 2022 Report '!E21+'5a. Spending- 2022 Report '!N21+'5a. Spending- 2022 Report '!Q21+'5a. Spending- 2022 Report '!T21)</f>
        <v>363000</v>
      </c>
      <c r="F21" s="275">
        <f>SUM('5a. Spending- 2022 Report '!F21+'5a. Spending- 2022 Report '!O21+'5a. Spending- 2022 Report '!R21+'5a. Spending- 2022 Report '!U21)</f>
        <v>363000</v>
      </c>
      <c r="G21" s="273">
        <f>'5a. Spending- 2022 Report '!G21+'5b. Spending- 2023 Report'!G21+'5c. Spending- 2024 Report'!G21+'5d. Spending - 2025 Report'!G21</f>
        <v>8</v>
      </c>
      <c r="H21" s="274">
        <f>'5a. Spending- 2022 Report '!H21+'5b. Spending- 2023 Report'!H21+'5c. Spending- 2024 Report'!H21+'5d. Spending - 2025 Report'!H21</f>
        <v>105475</v>
      </c>
      <c r="I21" s="275">
        <f>'5a. Spending- 2022 Report '!I21+'5b. Spending- 2023 Report'!I21+'5c. Spending- 2024 Report'!I21+'5d. Spending - 2025 Report'!I21</f>
        <v>590241</v>
      </c>
      <c r="J21" s="377">
        <f t="shared" si="1"/>
        <v>-0.55555555555555558</v>
      </c>
      <c r="K21" s="378">
        <f t="shared" si="2"/>
        <v>-0.70943526170798898</v>
      </c>
      <c r="L21" s="379">
        <f t="shared" si="3"/>
        <v>0.62600826446280988</v>
      </c>
      <c r="O21" s="110"/>
    </row>
    <row r="22" spans="1:21" ht="15.6" x14ac:dyDescent="0.3">
      <c r="A22" s="45" t="str">
        <f t="shared" si="0"/>
        <v>Unitil</v>
      </c>
      <c r="B22" s="451" t="s">
        <v>8</v>
      </c>
      <c r="C22" s="454" t="s">
        <v>374</v>
      </c>
      <c r="D22" s="273">
        <f>SUM('5a. Spending- 2022 Report '!D22+'5a. Spending- 2022 Report '!M22+'5a. Spending- 2022 Report '!P22+'5a. Spending- 2022 Report '!S22)</f>
        <v>7</v>
      </c>
      <c r="E22" s="274">
        <f>SUM('5a. Spending- 2022 Report '!E22+'5a. Spending- 2022 Report '!N22+'5a. Spending- 2022 Report '!Q22+'5a. Spending- 2022 Report '!T22)</f>
        <v>127641</v>
      </c>
      <c r="F22" s="275">
        <f>SUM('5a. Spending- 2022 Report '!F22+'5a. Spending- 2022 Report '!O22+'5a. Spending- 2022 Report '!R22+'5a. Spending- 2022 Report '!U22)</f>
        <v>127641</v>
      </c>
      <c r="G22" s="273">
        <f>'5a. Spending- 2022 Report '!G22+'5b. Spending- 2023 Report'!G22+'5c. Spending- 2024 Report'!G22+'5d. Spending - 2025 Report'!G22</f>
        <v>1</v>
      </c>
      <c r="H22" s="274">
        <f>'5a. Spending- 2022 Report '!H22+'5b. Spending- 2023 Report'!H22+'5c. Spending- 2024 Report'!H22+'5d. Spending - 2025 Report'!H22</f>
        <v>69244.62</v>
      </c>
      <c r="I22" s="275">
        <f>'5a. Spending- 2022 Report '!I22+'5b. Spending- 2023 Report'!I22+'5c. Spending- 2024 Report'!I22+'5d. Spending - 2025 Report'!I22</f>
        <v>95175.2</v>
      </c>
      <c r="J22" s="377">
        <f t="shared" si="1"/>
        <v>-0.8571428571428571</v>
      </c>
      <c r="K22" s="378">
        <f t="shared" si="2"/>
        <v>-0.45750487695959768</v>
      </c>
      <c r="L22" s="379">
        <f t="shared" si="3"/>
        <v>-0.25435244161358811</v>
      </c>
      <c r="O22" s="110"/>
    </row>
    <row r="23" spans="1:21" ht="15.6" x14ac:dyDescent="0.3">
      <c r="A23" s="45" t="str">
        <f t="shared" si="0"/>
        <v>Unitil</v>
      </c>
      <c r="B23" s="451" t="s">
        <v>8</v>
      </c>
      <c r="C23" s="454" t="s">
        <v>375</v>
      </c>
      <c r="D23" s="273">
        <f>SUM('5a. Spending- 2022 Report '!D23+'5a. Spending- 2022 Report '!M23+'5a. Spending- 2022 Report '!P23+'5a. Spending- 2022 Report '!S23)</f>
        <v>69</v>
      </c>
      <c r="E23" s="274">
        <f>SUM('5a. Spending- 2022 Report '!E23+'5a. Spending- 2022 Report '!N23+'5a. Spending- 2022 Report '!Q23+'5a. Spending- 2022 Report '!T23)</f>
        <v>787000</v>
      </c>
      <c r="F23" s="275">
        <f>SUM('5a. Spending- 2022 Report '!F23+'5a. Spending- 2022 Report '!O23+'5a. Spending- 2022 Report '!R23+'5a. Spending- 2022 Report '!U23)</f>
        <v>787000</v>
      </c>
      <c r="G23" s="273">
        <f>'5a. Spending- 2022 Report '!G23+'5b. Spending- 2023 Report'!G23+'5c. Spending- 2024 Report'!G23+'5d. Spending - 2025 Report'!G23</f>
        <v>43</v>
      </c>
      <c r="H23" s="274">
        <f>'5a. Spending- 2022 Report '!H23+'5b. Spending- 2023 Report'!H23+'5c. Spending- 2024 Report'!H23+'5d. Spending - 2025 Report'!H23</f>
        <v>363642</v>
      </c>
      <c r="I23" s="275">
        <f>'5a. Spending- 2022 Report '!I23+'5b. Spending- 2023 Report'!I23+'5c. Spending- 2024 Report'!I23+'5d. Spending - 2025 Report'!I23</f>
        <v>599307</v>
      </c>
      <c r="J23" s="377">
        <f t="shared" si="1"/>
        <v>-0.37681159420289856</v>
      </c>
      <c r="K23" s="378">
        <f t="shared" si="2"/>
        <v>-0.53793900889453616</v>
      </c>
      <c r="L23" s="379">
        <f t="shared" si="3"/>
        <v>-0.23849174078780178</v>
      </c>
      <c r="O23" s="110"/>
    </row>
    <row r="24" spans="1:21" ht="31.2" x14ac:dyDescent="0.3">
      <c r="A24" s="45" t="str">
        <f t="shared" si="0"/>
        <v>Unitil</v>
      </c>
      <c r="B24" s="451" t="s">
        <v>9</v>
      </c>
      <c r="C24" s="454" t="s">
        <v>357</v>
      </c>
      <c r="D24" s="273">
        <f>SUM('5a. Spending- 2022 Report '!D24+'5a. Spending- 2022 Report '!M24+'5a. Spending- 2022 Report '!P24+'5a. Spending- 2022 Report '!S24)</f>
        <v>8</v>
      </c>
      <c r="E24" s="274">
        <f>SUM('5a. Spending- 2022 Report '!E24+'5a. Spending- 2022 Report '!N24+'5a. Spending- 2022 Report '!Q24+'5a. Spending- 2022 Report '!T24)</f>
        <v>950000</v>
      </c>
      <c r="F24" s="275">
        <f>SUM('5a. Spending- 2022 Report '!F24+'5a. Spending- 2022 Report '!O24+'5a. Spending- 2022 Report '!R24+'5a. Spending- 2022 Report '!U24)</f>
        <v>950000</v>
      </c>
      <c r="G24" s="273">
        <f>'5a. Spending- 2022 Report '!G24+'5b. Spending- 2023 Report'!G24+'5c. Spending- 2024 Report'!G24+'5d. Spending - 2025 Report'!G24</f>
        <v>5</v>
      </c>
      <c r="H24" s="274">
        <f>'5a. Spending- 2022 Report '!H24+'5b. Spending- 2023 Report'!H24+'5c. Spending- 2024 Report'!H24+'5d. Spending - 2025 Report'!H24</f>
        <v>162218.13</v>
      </c>
      <c r="I24" s="275">
        <f>'5a. Spending- 2022 Report '!I24+'5b. Spending- 2023 Report'!I24+'5c. Spending- 2024 Report'!I24+'5d. Spending - 2025 Report'!I24</f>
        <v>162218.13</v>
      </c>
      <c r="J24" s="377">
        <f t="shared" si="1"/>
        <v>-0.375</v>
      </c>
      <c r="K24" s="378">
        <f t="shared" si="2"/>
        <v>-0.82924407368421049</v>
      </c>
      <c r="L24" s="379">
        <f t="shared" si="3"/>
        <v>-0.82924407368421049</v>
      </c>
      <c r="O24" s="110"/>
    </row>
    <row r="25" spans="1:21" ht="31.2" x14ac:dyDescent="0.3">
      <c r="A25" s="45" t="str">
        <f t="shared" si="0"/>
        <v>Unitil</v>
      </c>
      <c r="B25" s="451" t="s">
        <v>376</v>
      </c>
      <c r="C25" s="454" t="s">
        <v>10</v>
      </c>
      <c r="D25" s="456"/>
      <c r="E25" s="457"/>
      <c r="F25" s="458"/>
      <c r="G25" s="456"/>
      <c r="H25" s="457"/>
      <c r="I25" s="458"/>
      <c r="J25" s="377">
        <f t="shared" ref="J25:J30" si="7">IFERROR(((G25-D25)/D25),0)</f>
        <v>0</v>
      </c>
      <c r="K25" s="378">
        <f t="shared" ref="K25:K30" si="8">IFERROR(((H25-E25)/E25),0)</f>
        <v>0</v>
      </c>
      <c r="L25" s="379">
        <f t="shared" ref="L25:L30" si="9">IFERROR(((I25-F25)/F25),0)</f>
        <v>0</v>
      </c>
      <c r="N25" s="11"/>
      <c r="O25" s="110"/>
    </row>
    <row r="26" spans="1:21" ht="31.2" x14ac:dyDescent="0.3">
      <c r="A26" s="45" t="str">
        <f t="shared" si="0"/>
        <v>Unitil</v>
      </c>
      <c r="B26" s="451" t="s">
        <v>376</v>
      </c>
      <c r="C26" s="454" t="s">
        <v>335</v>
      </c>
      <c r="D26" s="456"/>
      <c r="E26" s="457"/>
      <c r="F26" s="458"/>
      <c r="G26" s="456"/>
      <c r="H26" s="457"/>
      <c r="I26" s="458"/>
      <c r="J26" s="377">
        <f t="shared" si="7"/>
        <v>0</v>
      </c>
      <c r="K26" s="378">
        <f t="shared" si="8"/>
        <v>0</v>
      </c>
      <c r="L26" s="379">
        <f t="shared" si="9"/>
        <v>0</v>
      </c>
    </row>
    <row r="27" spans="1:21" ht="31.2" x14ac:dyDescent="0.3">
      <c r="A27" s="45" t="str">
        <f t="shared" si="0"/>
        <v>Unitil</v>
      </c>
      <c r="B27" s="451" t="s">
        <v>10</v>
      </c>
      <c r="C27" s="454" t="s">
        <v>377</v>
      </c>
      <c r="D27" s="456"/>
      <c r="E27" s="457"/>
      <c r="F27" s="458"/>
      <c r="G27" s="456"/>
      <c r="H27" s="457"/>
      <c r="I27" s="458"/>
      <c r="J27" s="377">
        <f t="shared" si="7"/>
        <v>0</v>
      </c>
      <c r="K27" s="378">
        <f t="shared" si="8"/>
        <v>0</v>
      </c>
      <c r="L27" s="379">
        <f t="shared" si="9"/>
        <v>0</v>
      </c>
    </row>
    <row r="28" spans="1:21" ht="31.2" x14ac:dyDescent="0.3">
      <c r="A28" s="45" t="str">
        <f t="shared" si="0"/>
        <v>Unitil</v>
      </c>
      <c r="B28" s="451" t="s">
        <v>10</v>
      </c>
      <c r="C28" s="454" t="s">
        <v>378</v>
      </c>
      <c r="D28" s="456"/>
      <c r="E28" s="457"/>
      <c r="F28" s="458"/>
      <c r="G28" s="456"/>
      <c r="H28" s="457"/>
      <c r="I28" s="458"/>
      <c r="J28" s="377">
        <f t="shared" si="7"/>
        <v>0</v>
      </c>
      <c r="K28" s="378">
        <f t="shared" si="8"/>
        <v>0</v>
      </c>
      <c r="L28" s="379">
        <f t="shared" si="9"/>
        <v>0</v>
      </c>
    </row>
    <row r="29" spans="1:21" s="7" customFormat="1" ht="15.6" x14ac:dyDescent="0.3">
      <c r="A29" s="45" t="str">
        <f t="shared" si="0"/>
        <v>Unitil</v>
      </c>
      <c r="B29" s="451" t="s">
        <v>10</v>
      </c>
      <c r="C29" s="454" t="s">
        <v>359</v>
      </c>
      <c r="D29" s="273">
        <f>SUM('5a. Spending- 2022 Report '!D29+'5a. Spending- 2022 Report '!M29+'5a. Spending- 2022 Report '!P29+'5a. Spending- 2022 Report '!S29)</f>
        <v>22</v>
      </c>
      <c r="E29" s="274">
        <f>SUM('5a. Spending- 2022 Report '!E29+'5a. Spending- 2022 Report '!N29+'5a. Spending- 2022 Report '!Q29+'5a. Spending- 2022 Report '!T29)</f>
        <v>198000</v>
      </c>
      <c r="F29" s="275">
        <f>SUM('5a. Spending- 2022 Report '!F29+'5a. Spending- 2022 Report '!O29+'5a. Spending- 2022 Report '!R29+'5a. Spending- 2022 Report '!U29)</f>
        <v>198000</v>
      </c>
      <c r="G29" s="273">
        <f>'5a. Spending- 2022 Report '!G29+'5b. Spending- 2023 Report'!G29+'5c. Spending- 2024 Report'!G29+'5d. Spending - 2025 Report'!G29</f>
        <v>27</v>
      </c>
      <c r="H29" s="274">
        <f>'5a. Spending- 2022 Report '!H29+'5b. Spending- 2023 Report'!H29+'5c. Spending- 2024 Report'!H29+'5d. Spending - 2025 Report'!H29</f>
        <v>184379.96</v>
      </c>
      <c r="I29" s="275">
        <f>'5a. Spending- 2022 Report '!I29+'5b. Spending- 2023 Report'!I29+'5c. Spending- 2024 Report'!I29+'5d. Spending - 2025 Report'!I29</f>
        <v>184379.96</v>
      </c>
      <c r="J29" s="377">
        <f t="shared" si="7"/>
        <v>0.22727272727272727</v>
      </c>
      <c r="K29" s="378">
        <f t="shared" si="8"/>
        <v>-6.8788080808080854E-2</v>
      </c>
      <c r="L29" s="379">
        <f t="shared" si="9"/>
        <v>-6.8788080808080854E-2</v>
      </c>
    </row>
    <row r="30" spans="1:21" ht="15.6" x14ac:dyDescent="0.3">
      <c r="A30" s="45" t="str">
        <f t="shared" si="0"/>
        <v>Unitil</v>
      </c>
      <c r="B30" s="451" t="s">
        <v>336</v>
      </c>
      <c r="C30" s="454" t="s">
        <v>339</v>
      </c>
      <c r="D30" s="456"/>
      <c r="E30" s="457"/>
      <c r="F30" s="458"/>
      <c r="G30" s="456"/>
      <c r="H30" s="457"/>
      <c r="I30" s="458"/>
      <c r="J30" s="377">
        <f t="shared" si="7"/>
        <v>0</v>
      </c>
      <c r="K30" s="378">
        <f t="shared" si="8"/>
        <v>0</v>
      </c>
      <c r="L30" s="379">
        <f t="shared" si="9"/>
        <v>0</v>
      </c>
    </row>
    <row r="31" spans="1:21" ht="31.2" x14ac:dyDescent="0.3">
      <c r="A31" s="45" t="str">
        <f t="shared" si="0"/>
        <v>Unitil</v>
      </c>
      <c r="B31" s="451" t="s">
        <v>336</v>
      </c>
      <c r="C31" s="454" t="s">
        <v>379</v>
      </c>
      <c r="D31" s="469"/>
      <c r="E31" s="470"/>
      <c r="F31" s="471"/>
      <c r="G31" s="456"/>
      <c r="H31" s="457"/>
      <c r="I31" s="458"/>
      <c r="J31" s="377">
        <f t="shared" si="1"/>
        <v>0</v>
      </c>
      <c r="K31" s="378">
        <f t="shared" si="2"/>
        <v>0</v>
      </c>
      <c r="L31" s="379">
        <f t="shared" si="3"/>
        <v>0</v>
      </c>
    </row>
    <row r="32" spans="1:21" ht="15.6" x14ac:dyDescent="0.3">
      <c r="A32" s="45" t="str">
        <f t="shared" si="0"/>
        <v>Unitil</v>
      </c>
      <c r="B32" s="451" t="s">
        <v>342</v>
      </c>
      <c r="C32" s="454" t="s">
        <v>358</v>
      </c>
      <c r="D32" s="279"/>
      <c r="E32" s="274"/>
      <c r="F32" s="275"/>
      <c r="G32" s="273"/>
      <c r="H32" s="274"/>
      <c r="I32" s="275"/>
      <c r="J32" s="377">
        <f t="shared" si="1"/>
        <v>0</v>
      </c>
      <c r="K32" s="378">
        <f t="shared" si="2"/>
        <v>0</v>
      </c>
      <c r="L32" s="379">
        <f t="shared" si="3"/>
        <v>0</v>
      </c>
    </row>
    <row r="33" spans="1:12" ht="15.6" x14ac:dyDescent="0.3">
      <c r="A33" s="45" t="str">
        <f t="shared" si="0"/>
        <v>Unitil</v>
      </c>
      <c r="B33" s="451" t="s">
        <v>342</v>
      </c>
      <c r="C33" s="454" t="s">
        <v>380</v>
      </c>
      <c r="D33" s="462"/>
      <c r="E33" s="457"/>
      <c r="F33" s="458"/>
      <c r="G33" s="456"/>
      <c r="H33" s="457"/>
      <c r="I33" s="458"/>
      <c r="J33" s="377">
        <f t="shared" si="1"/>
        <v>0</v>
      </c>
      <c r="K33" s="378">
        <f t="shared" si="2"/>
        <v>0</v>
      </c>
      <c r="L33" s="379">
        <f t="shared" si="3"/>
        <v>0</v>
      </c>
    </row>
    <row r="34" spans="1:12" ht="15.6" x14ac:dyDescent="0.3">
      <c r="A34" s="45" t="str">
        <f t="shared" si="0"/>
        <v>Unitil</v>
      </c>
      <c r="B34" s="451" t="s">
        <v>341</v>
      </c>
      <c r="C34" s="454"/>
      <c r="D34" s="463"/>
      <c r="E34" s="464"/>
      <c r="F34" s="465"/>
      <c r="G34" s="456"/>
      <c r="H34" s="457"/>
      <c r="I34" s="458"/>
      <c r="J34" s="377">
        <f t="shared" si="1"/>
        <v>0</v>
      </c>
      <c r="K34" s="378">
        <f t="shared" si="2"/>
        <v>0</v>
      </c>
      <c r="L34" s="379">
        <f t="shared" si="3"/>
        <v>0</v>
      </c>
    </row>
    <row r="35" spans="1:12" ht="15.6" x14ac:dyDescent="0.3">
      <c r="A35" s="45" t="str">
        <f t="shared" si="0"/>
        <v>Unitil</v>
      </c>
      <c r="B35" s="451" t="s">
        <v>362</v>
      </c>
      <c r="C35" s="454" t="s">
        <v>337</v>
      </c>
      <c r="D35" s="273">
        <f>SUM('5a. Spending- 2022 Report '!D35+'5a. Spending- 2022 Report '!M35+'5a. Spending- 2022 Report '!P35+'5a. Spending- 2022 Report '!S35)</f>
        <v>4</v>
      </c>
      <c r="E35" s="274">
        <f>SUM('5a. Spending- 2022 Report '!E35+'5a. Spending- 2022 Report '!N35+'5a. Spending- 2022 Report '!Q35+'5a. Spending- 2022 Report '!T35)</f>
        <v>1042000</v>
      </c>
      <c r="F35" s="275">
        <f>SUM('5a. Spending- 2022 Report '!F35+'5a. Spending- 2022 Report '!O35+'5a. Spending- 2022 Report '!R35+'5a. Spending- 2022 Report '!U35)</f>
        <v>1045393.87</v>
      </c>
      <c r="G35" s="273">
        <f>'5a. Spending- 2022 Report '!G35+'5b. Spending- 2023 Report'!G35+'5c. Spending- 2024 Report'!G35+'5d. Spending - 2025 Report'!G35</f>
        <v>0</v>
      </c>
      <c r="H35" s="274">
        <f>'5a. Spending- 2022 Report '!H35+'5b. Spending- 2023 Report'!H35+'5c. Spending- 2024 Report'!H35+'5d. Spending - 2025 Report'!H35</f>
        <v>95022.720000000001</v>
      </c>
      <c r="I35" s="275">
        <f>'5a. Spending- 2022 Report '!I35+'5b. Spending- 2023 Report'!I35+'5c. Spending- 2024 Report'!I35+'5d. Spending - 2025 Report'!I35</f>
        <v>0</v>
      </c>
      <c r="J35" s="377">
        <f t="shared" si="1"/>
        <v>-1</v>
      </c>
      <c r="K35" s="378">
        <f t="shared" si="2"/>
        <v>-0.90880737044145876</v>
      </c>
      <c r="L35" s="379">
        <f t="shared" si="3"/>
        <v>-1</v>
      </c>
    </row>
    <row r="36" spans="1:12" ht="15.6" x14ac:dyDescent="0.3">
      <c r="A36" s="45" t="str">
        <f t="shared" si="0"/>
        <v>Unitil</v>
      </c>
      <c r="B36" s="451" t="s">
        <v>11</v>
      </c>
      <c r="C36" s="454" t="s">
        <v>360</v>
      </c>
      <c r="D36" s="463"/>
      <c r="E36" s="464"/>
      <c r="F36" s="465"/>
      <c r="G36" s="456"/>
      <c r="H36" s="457"/>
      <c r="I36" s="458"/>
      <c r="J36" s="377">
        <f t="shared" ref="J36" si="10">IFERROR(((G36-D36)/D36),0)</f>
        <v>0</v>
      </c>
      <c r="K36" s="378">
        <f t="shared" ref="K36" si="11">IFERROR(((H36-E36)/E36),0)</f>
        <v>0</v>
      </c>
      <c r="L36" s="379">
        <f t="shared" ref="L36" si="12">IFERROR(((I36-F36)/F36),0)</f>
        <v>0</v>
      </c>
    </row>
    <row r="37" spans="1:12" ht="15.6" x14ac:dyDescent="0.3">
      <c r="A37" s="45" t="str">
        <f t="shared" si="0"/>
        <v>Unitil</v>
      </c>
      <c r="B37" s="451" t="s">
        <v>350</v>
      </c>
      <c r="C37" s="454" t="s">
        <v>363</v>
      </c>
      <c r="D37" s="279">
        <f>SUM('5a. Spending- 2022 Report '!D37+'5a. Spending- 2022 Report '!M37+'5a. Spending- 2022 Report '!P37+'5a. Spending- 2022 Report '!S37)</f>
        <v>0</v>
      </c>
      <c r="E37" s="274">
        <f>SUM('5a. Spending- 2022 Report '!E37+'5a. Spending- 2022 Report '!N37+'5a. Spending- 2022 Report '!Q37+'5a. Spending- 2022 Report '!T37)</f>
        <v>300000</v>
      </c>
      <c r="F37" s="275">
        <f>SUM('5a. Spending- 2022 Report '!F37+'5a. Spending- 2022 Report '!O37+'5a. Spending- 2022 Report '!R37+'5a. Spending- 2022 Report '!U37)</f>
        <v>300000</v>
      </c>
      <c r="G37" s="273">
        <f>'5a. Spending- 2022 Report '!G37+'5b. Spending- 2023 Report'!G37+'5c. Spending- 2024 Report'!G37+'5d. Spending - 2025 Report'!G37</f>
        <v>0</v>
      </c>
      <c r="H37" s="274">
        <f>'5a. Spending- 2022 Report '!H37+'5b. Spending- 2023 Report'!H37+'5c. Spending- 2024 Report'!H37+'5d. Spending - 2025 Report'!H37</f>
        <v>10193</v>
      </c>
      <c r="I37" s="275">
        <f>'5a. Spending- 2022 Report '!I37+'5b. Spending- 2023 Report'!I37+'5c. Spending- 2024 Report'!I37+'5d. Spending - 2025 Report'!I37</f>
        <v>0</v>
      </c>
      <c r="J37" s="380">
        <f>IFERROR(((G37-D37)/D37),0)</f>
        <v>0</v>
      </c>
      <c r="K37" s="381">
        <f t="shared" si="2"/>
        <v>-0.96602333333333334</v>
      </c>
      <c r="L37" s="382">
        <f>IFERROR(((I37-F37)/F37),0)</f>
        <v>-1</v>
      </c>
    </row>
    <row r="38" spans="1:12" ht="15.6" x14ac:dyDescent="0.3">
      <c r="A38" s="45" t="str">
        <f t="shared" si="0"/>
        <v>Unitil</v>
      </c>
      <c r="B38" s="451" t="s">
        <v>350</v>
      </c>
      <c r="C38" s="454" t="s">
        <v>354</v>
      </c>
      <c r="D38" s="279">
        <f>SUM('5a. Spending- 2022 Report '!D38+'5a. Spending- 2022 Report '!M38+'5a. Spending- 2022 Report '!P38+'5a. Spending- 2022 Report '!S38)</f>
        <v>0</v>
      </c>
      <c r="E38" s="274">
        <f>SUM('5a. Spending- 2022 Report '!E38+'5a. Spending- 2022 Report '!N38+'5a. Spending- 2022 Report '!Q38+'5a. Spending- 2022 Report '!T38)</f>
        <v>0</v>
      </c>
      <c r="F38" s="275">
        <f>SUM('5a. Spending- 2022 Report '!F38+'5a. Spending- 2022 Report '!O38+'5a. Spending- 2022 Report '!R38+'5a. Spending- 2022 Report '!U38)</f>
        <v>0</v>
      </c>
      <c r="G38" s="273">
        <f>'5a. Spending- 2022 Report '!G38+'5b. Spending- 2023 Report'!G38+'5c. Spending- 2024 Report'!G38+'5d. Spending - 2025 Report'!G38</f>
        <v>0</v>
      </c>
      <c r="H38" s="274">
        <f>'5a. Spending- 2022 Report '!H38+'5b. Spending- 2023 Report'!H38+'5c. Spending- 2024 Report'!H38+'5d. Spending - 2025 Report'!H38</f>
        <v>0</v>
      </c>
      <c r="I38" s="275">
        <f>'5a. Spending- 2022 Report '!I38+'5b. Spending- 2023 Report'!I38+'5c. Spending- 2024 Report'!I38+'5d. Spending - 2025 Report'!I38</f>
        <v>0</v>
      </c>
      <c r="J38" s="380">
        <f t="shared" ref="J38:J42" si="13">IFERROR(((G38-D38)/D38),0)</f>
        <v>0</v>
      </c>
      <c r="K38" s="381">
        <f t="shared" ref="K38:K42" si="14">IFERROR(((H38-E38)/E38),0)</f>
        <v>0</v>
      </c>
      <c r="L38" s="382">
        <f t="shared" ref="L38:L42" si="15">IFERROR(((I38-F38)/F38),0)</f>
        <v>0</v>
      </c>
    </row>
    <row r="39" spans="1:12" ht="31.2" x14ac:dyDescent="0.3">
      <c r="A39" s="45" t="str">
        <f t="shared" si="0"/>
        <v>Unitil</v>
      </c>
      <c r="B39" s="451" t="s">
        <v>350</v>
      </c>
      <c r="C39" s="454" t="s">
        <v>381</v>
      </c>
      <c r="D39" s="462"/>
      <c r="E39" s="457"/>
      <c r="F39" s="458"/>
      <c r="G39" s="456"/>
      <c r="H39" s="457"/>
      <c r="I39" s="458"/>
      <c r="J39" s="380">
        <f t="shared" si="13"/>
        <v>0</v>
      </c>
      <c r="K39" s="381">
        <f t="shared" si="14"/>
        <v>0</v>
      </c>
      <c r="L39" s="382">
        <f t="shared" si="15"/>
        <v>0</v>
      </c>
    </row>
    <row r="40" spans="1:12" ht="15.6" x14ac:dyDescent="0.3">
      <c r="A40" s="45" t="str">
        <f t="shared" si="0"/>
        <v>Unitil</v>
      </c>
      <c r="B40" s="451" t="s">
        <v>351</v>
      </c>
      <c r="C40" s="454" t="s">
        <v>351</v>
      </c>
      <c r="D40" s="279">
        <f>SUM('5a. Spending- 2022 Report '!D40+'5a. Spending- 2022 Report '!M40+'5a. Spending- 2022 Report '!P40+'5a. Spending- 2022 Report '!S40)</f>
        <v>0</v>
      </c>
      <c r="E40" s="274" t="e">
        <f>SUM('5a. Spending- 2022 Report '!E40+'5a. Spending- 2022 Report '!N40+'5a. Spending- 2022 Report '!Q40+'5a. Spending- 2022 Report '!T40)</f>
        <v>#VALUE!</v>
      </c>
      <c r="F40" s="275" t="e">
        <f>SUM('5a. Spending- 2022 Report '!F40+'5a. Spending- 2022 Report '!O40+'5a. Spending- 2022 Report '!R40+'5a. Spending- 2022 Report '!U40)</f>
        <v>#VALUE!</v>
      </c>
      <c r="G40" s="273">
        <f>'5a. Spending- 2022 Report '!G40+'5b. Spending- 2023 Report'!G40+'5c. Spending- 2024 Report'!G40+'5d. Spending - 2025 Report'!G40</f>
        <v>0</v>
      </c>
      <c r="H40" s="274">
        <f>'5a. Spending- 2022 Report '!H40+'5b. Spending- 2023 Report'!H40+'5c. Spending- 2024 Report'!H40+'5d. Spending - 2025 Report'!H40</f>
        <v>76270</v>
      </c>
      <c r="I40" s="275">
        <f>'5a. Spending- 2022 Report '!I40+'5b. Spending- 2023 Report'!I40+'5c. Spending- 2024 Report'!I40+'5d. Spending - 2025 Report'!I40</f>
        <v>0</v>
      </c>
      <c r="J40" s="380">
        <f t="shared" si="13"/>
        <v>0</v>
      </c>
      <c r="K40" s="381">
        <f t="shared" si="14"/>
        <v>0</v>
      </c>
      <c r="L40" s="382">
        <f t="shared" si="15"/>
        <v>0</v>
      </c>
    </row>
    <row r="41" spans="1:12" ht="15.6" x14ac:dyDescent="0.3">
      <c r="A41" s="45" t="str">
        <f t="shared" si="0"/>
        <v>Unitil</v>
      </c>
      <c r="B41" s="451" t="s">
        <v>352</v>
      </c>
      <c r="C41" s="454" t="s">
        <v>352</v>
      </c>
      <c r="D41" s="279">
        <f>SUM('5a. Spending- 2022 Report '!D41+'5a. Spending- 2022 Report '!M41+'5a. Spending- 2022 Report '!P41+'5a. Spending- 2022 Report '!S41)</f>
        <v>0</v>
      </c>
      <c r="E41" s="274">
        <f>SUM('5a. Spending- 2022 Report '!E41+'5a. Spending- 2022 Report '!N41+'5a. Spending- 2022 Report '!Q41+'5a. Spending- 2022 Report '!T41)</f>
        <v>1863000</v>
      </c>
      <c r="F41" s="275">
        <f>SUM('5a. Spending- 2022 Report '!F41+'5a. Spending- 2022 Report '!O41+'5a. Spending- 2022 Report '!R41+'5a. Spending- 2022 Report '!U41)</f>
        <v>1894237.9100000001</v>
      </c>
      <c r="G41" s="273">
        <f>'5a. Spending- 2022 Report '!G41+'5b. Spending- 2023 Report'!G41+'5c. Spending- 2024 Report'!G41+'5d. Spending - 2025 Report'!G41</f>
        <v>0</v>
      </c>
      <c r="H41" s="274">
        <f>'5a. Spending- 2022 Report '!H41+'5b. Spending- 2023 Report'!H41+'5c. Spending- 2024 Report'!H41+'5d. Spending - 2025 Report'!H41</f>
        <v>40357.82</v>
      </c>
      <c r="I41" s="275">
        <f>'5a. Spending- 2022 Report '!I41+'5b. Spending- 2023 Report'!I41+'5c. Spending- 2024 Report'!I41+'5d. Spending - 2025 Report'!I41</f>
        <v>0</v>
      </c>
      <c r="J41" s="380">
        <f t="shared" si="13"/>
        <v>0</v>
      </c>
      <c r="K41" s="381">
        <f t="shared" si="14"/>
        <v>-0.97833718733225972</v>
      </c>
      <c r="L41" s="382">
        <f t="shared" si="15"/>
        <v>-1</v>
      </c>
    </row>
    <row r="42" spans="1:12" ht="16.2" thickBot="1" x14ac:dyDescent="0.35">
      <c r="A42" s="46" t="str">
        <f t="shared" si="0"/>
        <v>Unitil</v>
      </c>
      <c r="B42" s="452" t="s">
        <v>353</v>
      </c>
      <c r="C42" s="455" t="s">
        <v>353</v>
      </c>
      <c r="D42" s="472">
        <f>SUM('5a. Spending- 2022 Report '!D42+'5a. Spending- 2022 Report '!M42+'5a. Spending- 2022 Report '!P42+'5a. Spending- 2022 Report '!S42)</f>
        <v>0</v>
      </c>
      <c r="E42" s="473">
        <f>SUM('5a. Spending- 2022 Report '!E42+'5a. Spending- 2022 Report '!N42+'5a. Spending- 2022 Report '!Q42+'5a. Spending- 2022 Report '!T42)</f>
        <v>1010000</v>
      </c>
      <c r="F42" s="474">
        <f>SUM('5a. Spending- 2022 Report '!F42+'5a. Spending- 2022 Report '!O42+'5a. Spending- 2022 Report '!R42+'5a. Spending- 2022 Report '!U42)</f>
        <v>544000</v>
      </c>
      <c r="G42" s="475">
        <f>'5a. Spending- 2022 Report '!G42+'5b. Spending- 2023 Report'!G42+'5c. Spending- 2024 Report'!G42+'5d. Spending - 2025 Report'!G42</f>
        <v>0</v>
      </c>
      <c r="H42" s="473">
        <f>'5a. Spending- 2022 Report '!H42+'5b. Spending- 2023 Report'!H42+'5c. Spending- 2024 Report'!H42+'5d. Spending - 2025 Report'!H42</f>
        <v>0</v>
      </c>
      <c r="I42" s="474">
        <f>'5a. Spending- 2022 Report '!I42+'5b. Spending- 2023 Report'!I42+'5c. Spending- 2024 Report'!I42+'5d. Spending - 2025 Report'!I42</f>
        <v>0</v>
      </c>
      <c r="J42" s="380">
        <f t="shared" si="13"/>
        <v>0</v>
      </c>
      <c r="K42" s="381">
        <f t="shared" si="14"/>
        <v>-1</v>
      </c>
      <c r="L42" s="382">
        <f t="shared" si="15"/>
        <v>-1</v>
      </c>
    </row>
    <row r="43" spans="1:12" ht="15" thickBot="1" x14ac:dyDescent="0.35">
      <c r="C43" s="439" t="s">
        <v>228</v>
      </c>
      <c r="D43" s="280">
        <f>SUM(D9:D42)</f>
        <v>191</v>
      </c>
      <c r="E43" s="280" t="e">
        <f t="shared" ref="E43:I43" si="16">SUM(E9:E42)</f>
        <v>#VALUE!</v>
      </c>
      <c r="F43" s="281" t="e">
        <f t="shared" si="16"/>
        <v>#VALUE!</v>
      </c>
      <c r="G43" s="276">
        <f t="shared" si="16"/>
        <v>119</v>
      </c>
      <c r="H43" s="277">
        <f t="shared" si="16"/>
        <v>1627771.81</v>
      </c>
      <c r="I43" s="278">
        <f t="shared" si="16"/>
        <v>2424432.2599999998</v>
      </c>
      <c r="J43" s="282"/>
      <c r="K43" s="283"/>
      <c r="L43" s="284"/>
    </row>
    <row r="44" spans="1:12" x14ac:dyDescent="0.3">
      <c r="A44" s="70"/>
      <c r="B44" s="359"/>
      <c r="C44" s="359"/>
      <c r="D44" s="443"/>
      <c r="E44" s="444"/>
      <c r="F44" s="444"/>
      <c r="G44" s="443"/>
      <c r="H44" s="444"/>
    </row>
    <row r="45" spans="1:12" ht="15" thickBot="1" x14ac:dyDescent="0.35">
      <c r="A45" s="70"/>
      <c r="B45" s="359"/>
      <c r="D45" s="443"/>
      <c r="E45" s="444"/>
      <c r="F45" s="444"/>
      <c r="G45" s="443"/>
      <c r="H45" s="444"/>
    </row>
    <row r="46" spans="1:12" ht="13.5" customHeight="1" thickBot="1" x14ac:dyDescent="0.35">
      <c r="A46" s="70"/>
      <c r="B46" s="359"/>
      <c r="D46" s="980" t="s">
        <v>252</v>
      </c>
      <c r="E46" s="981"/>
      <c r="F46" s="981"/>
      <c r="G46" s="982"/>
    </row>
    <row r="47" spans="1:12" ht="15" thickBot="1" x14ac:dyDescent="0.35">
      <c r="D47" s="383">
        <v>2022</v>
      </c>
      <c r="E47" s="384">
        <v>2023</v>
      </c>
      <c r="F47" s="425">
        <v>2024</v>
      </c>
      <c r="G47" s="385">
        <v>2025</v>
      </c>
      <c r="H47" s="385" t="s">
        <v>253</v>
      </c>
      <c r="I47" s="444"/>
    </row>
    <row r="48" spans="1:12" ht="15" thickBot="1" x14ac:dyDescent="0.35">
      <c r="B48" s="121" t="s">
        <v>223</v>
      </c>
      <c r="C48" s="121" t="s">
        <v>254</v>
      </c>
      <c r="D48" s="386" t="s">
        <v>232</v>
      </c>
      <c r="E48" s="387" t="s">
        <v>232</v>
      </c>
      <c r="F48" s="426" t="s">
        <v>232</v>
      </c>
      <c r="G48" s="388" t="s">
        <v>232</v>
      </c>
      <c r="H48" s="388" t="s">
        <v>232</v>
      </c>
      <c r="I48" s="444"/>
    </row>
    <row r="49" spans="2:9" ht="15" thickTop="1" x14ac:dyDescent="0.3">
      <c r="B49" s="389" t="s">
        <v>343</v>
      </c>
      <c r="C49" s="389" t="s">
        <v>255</v>
      </c>
      <c r="D49" s="390">
        <f>'5a. Spending- 2022 Report '!D49</f>
        <v>3875.81</v>
      </c>
      <c r="E49" s="391">
        <f>'5b. Spending- 2023 Report'!D49</f>
        <v>46716.34</v>
      </c>
      <c r="F49" s="403">
        <f>'5c. Spending- 2024 Report'!D49</f>
        <v>0</v>
      </c>
      <c r="G49" s="408">
        <f>'5d. Spending - 2025 Report'!D49</f>
        <v>0</v>
      </c>
      <c r="H49" s="392">
        <f>SUM(D49:G49)</f>
        <v>50592.149999999994</v>
      </c>
      <c r="I49" s="444"/>
    </row>
    <row r="50" spans="2:9" x14ac:dyDescent="0.3">
      <c r="B50" s="389"/>
      <c r="C50" s="389" t="s">
        <v>256</v>
      </c>
      <c r="D50" s="390">
        <f>'5a. Spending- 2022 Report '!D50</f>
        <v>97460.87</v>
      </c>
      <c r="E50" s="391">
        <f>'5b. Spending- 2023 Report'!D50</f>
        <v>162153.54</v>
      </c>
      <c r="F50" s="403">
        <f>'5c. Spending- 2024 Report'!D50</f>
        <v>0</v>
      </c>
      <c r="G50" s="407">
        <f>'5d. Spending - 2025 Report'!D50</f>
        <v>0</v>
      </c>
      <c r="H50" s="392">
        <f t="shared" ref="H50:H96" si="17">SUM(D50:G50)</f>
        <v>259614.41</v>
      </c>
      <c r="I50" s="444"/>
    </row>
    <row r="51" spans="2:9" ht="15" thickBot="1" x14ac:dyDescent="0.35">
      <c r="B51" s="393"/>
      <c r="C51" s="394" t="s">
        <v>257</v>
      </c>
      <c r="D51" s="395">
        <f>'5a. Spending- 2022 Report '!D51</f>
        <v>101336.68</v>
      </c>
      <c r="E51" s="396">
        <f>'5b. Spending- 2023 Report'!D51</f>
        <v>208869.88</v>
      </c>
      <c r="F51" s="405">
        <f>'5c. Spending- 2024 Report'!D51</f>
        <v>0</v>
      </c>
      <c r="G51" s="406">
        <f>'5d. Spending - 2025 Report'!D51</f>
        <v>0</v>
      </c>
      <c r="H51" s="397">
        <f t="shared" si="17"/>
        <v>310206.56</v>
      </c>
    </row>
    <row r="52" spans="2:9" ht="15" thickTop="1" x14ac:dyDescent="0.3">
      <c r="B52" s="389" t="s">
        <v>7</v>
      </c>
      <c r="C52" s="389" t="s">
        <v>255</v>
      </c>
      <c r="D52" s="390">
        <f>'5a. Spending- 2022 Report '!D52</f>
        <v>0</v>
      </c>
      <c r="E52" s="391">
        <f>'5b. Spending- 2023 Report'!D52</f>
        <v>0</v>
      </c>
      <c r="F52" s="403">
        <f>'5c. Spending- 2024 Report'!D52</f>
        <v>0</v>
      </c>
      <c r="G52" s="408">
        <f>'5d. Spending - 2025 Report'!D52</f>
        <v>0</v>
      </c>
      <c r="H52" s="392">
        <f t="shared" si="17"/>
        <v>0</v>
      </c>
    </row>
    <row r="53" spans="2:9" x14ac:dyDescent="0.3">
      <c r="B53" s="389"/>
      <c r="C53" s="389" t="s">
        <v>256</v>
      </c>
      <c r="D53" s="390">
        <f>'5a. Spending- 2022 Report '!D53</f>
        <v>0</v>
      </c>
      <c r="E53" s="391">
        <f>'5b. Spending- 2023 Report'!D53</f>
        <v>0</v>
      </c>
      <c r="F53" s="403">
        <f>'5c. Spending- 2024 Report'!D53</f>
        <v>0</v>
      </c>
      <c r="G53" s="409">
        <f>'5d. Spending - 2025 Report'!D53</f>
        <v>0</v>
      </c>
      <c r="H53" s="392">
        <f t="shared" si="17"/>
        <v>0</v>
      </c>
    </row>
    <row r="54" spans="2:9" ht="15" thickBot="1" x14ac:dyDescent="0.35">
      <c r="B54" s="393"/>
      <c r="C54" s="394" t="s">
        <v>257</v>
      </c>
      <c r="D54" s="395">
        <f>'5a. Spending- 2022 Report '!D54</f>
        <v>0</v>
      </c>
      <c r="E54" s="396">
        <f>'5b. Spending- 2023 Report'!D54</f>
        <v>0</v>
      </c>
      <c r="F54" s="405">
        <f>'5c. Spending- 2024 Report'!D54</f>
        <v>0</v>
      </c>
      <c r="G54" s="406">
        <f>'5d. Spending - 2025 Report'!D54</f>
        <v>0</v>
      </c>
      <c r="H54" s="397">
        <f t="shared" si="17"/>
        <v>0</v>
      </c>
    </row>
    <row r="55" spans="2:9" x14ac:dyDescent="0.3">
      <c r="B55" s="389" t="s">
        <v>8</v>
      </c>
      <c r="C55" s="389" t="s">
        <v>255</v>
      </c>
      <c r="D55" s="390">
        <f>'5a. Spending- 2022 Report '!D55</f>
        <v>104822.46</v>
      </c>
      <c r="E55" s="391">
        <f>'5b. Spending- 2023 Report'!D55</f>
        <v>448726.31</v>
      </c>
      <c r="F55" s="403">
        <f>'5c. Spending- 2024 Report'!D55</f>
        <v>0</v>
      </c>
      <c r="G55" s="409">
        <f>'5d. Spending - 2025 Report'!D55</f>
        <v>0</v>
      </c>
      <c r="H55" s="392">
        <f t="shared" si="17"/>
        <v>553548.77</v>
      </c>
    </row>
    <row r="56" spans="2:9" x14ac:dyDescent="0.3">
      <c r="B56" s="389"/>
      <c r="C56" s="389" t="s">
        <v>256</v>
      </c>
      <c r="D56" s="390">
        <f>'5a. Spending- 2022 Report '!D56</f>
        <v>145010.99</v>
      </c>
      <c r="E56" s="391">
        <f>'5b. Spending- 2023 Report'!D56</f>
        <v>50563.86</v>
      </c>
      <c r="F56" s="403">
        <f>'5c. Spending- 2024 Report'!D56</f>
        <v>0</v>
      </c>
      <c r="G56" s="409">
        <f>'5d. Spending - 2025 Report'!D56</f>
        <v>0</v>
      </c>
      <c r="H56" s="392">
        <f t="shared" si="17"/>
        <v>195574.84999999998</v>
      </c>
    </row>
    <row r="57" spans="2:9" ht="15" thickBot="1" x14ac:dyDescent="0.35">
      <c r="B57" s="393"/>
      <c r="C57" s="394" t="s">
        <v>257</v>
      </c>
      <c r="D57" s="395">
        <f>'5a. Spending- 2022 Report '!D57</f>
        <v>249833</v>
      </c>
      <c r="E57" s="396">
        <f>'5b. Spending- 2023 Report'!D57</f>
        <v>499290.17</v>
      </c>
      <c r="F57" s="405">
        <f>'5c. Spending- 2024 Report'!D57</f>
        <v>0</v>
      </c>
      <c r="G57" s="406">
        <f>'5d. Spending - 2025 Report'!D57</f>
        <v>0</v>
      </c>
      <c r="H57" s="397">
        <f t="shared" si="17"/>
        <v>749123.16999999993</v>
      </c>
    </row>
    <row r="58" spans="2:9" x14ac:dyDescent="0.3">
      <c r="B58" s="389" t="s">
        <v>9</v>
      </c>
      <c r="C58" s="389" t="s">
        <v>255</v>
      </c>
      <c r="D58" s="390">
        <f>'5a. Spending- 2022 Report '!D58</f>
        <v>3900.95</v>
      </c>
      <c r="E58" s="391">
        <f>'5b. Spending- 2023 Report'!D58</f>
        <v>100000</v>
      </c>
      <c r="F58" s="403">
        <f>'5c. Spending- 2024 Report'!D58</f>
        <v>0</v>
      </c>
      <c r="G58" s="409">
        <f>'5d. Spending - 2025 Report'!D58</f>
        <v>0</v>
      </c>
      <c r="H58" s="392">
        <f t="shared" si="17"/>
        <v>103900.95</v>
      </c>
    </row>
    <row r="59" spans="2:9" x14ac:dyDescent="0.3">
      <c r="B59" s="389"/>
      <c r="C59" s="389" t="s">
        <v>256</v>
      </c>
      <c r="D59" s="390">
        <f>'5a. Spending- 2022 Report '!D59</f>
        <v>54882</v>
      </c>
      <c r="E59" s="391">
        <f>'5b. Spending- 2023 Report'!D59</f>
        <v>3435.13</v>
      </c>
      <c r="F59" s="403">
        <f>'5c. Spending- 2024 Report'!D59</f>
        <v>0</v>
      </c>
      <c r="G59" s="409">
        <f>'5d. Spending - 2025 Report'!D59</f>
        <v>0</v>
      </c>
      <c r="H59" s="392">
        <f t="shared" si="17"/>
        <v>58317.13</v>
      </c>
    </row>
    <row r="60" spans="2:9" ht="15" thickBot="1" x14ac:dyDescent="0.35">
      <c r="B60" s="393"/>
      <c r="C60" s="394" t="s">
        <v>257</v>
      </c>
      <c r="D60" s="395">
        <f>'5a. Spending- 2022 Report '!D60</f>
        <v>58782.95</v>
      </c>
      <c r="E60" s="396">
        <f>'5b. Spending- 2023 Report'!D60</f>
        <v>103435.13</v>
      </c>
      <c r="F60" s="405">
        <f>'5c. Spending- 2024 Report'!D60</f>
        <v>0</v>
      </c>
      <c r="G60" s="406">
        <f>'5d. Spending - 2025 Report'!D60</f>
        <v>0</v>
      </c>
      <c r="H60" s="397">
        <f t="shared" si="17"/>
        <v>162218.08000000002</v>
      </c>
    </row>
    <row r="61" spans="2:9" x14ac:dyDescent="0.3">
      <c r="B61" s="389" t="s">
        <v>335</v>
      </c>
      <c r="C61" s="389" t="s">
        <v>255</v>
      </c>
      <c r="D61" s="390">
        <f>'5a. Spending- 2022 Report '!D61</f>
        <v>0</v>
      </c>
      <c r="E61" s="391">
        <f>'5b. Spending- 2023 Report'!D61</f>
        <v>0</v>
      </c>
      <c r="F61" s="403">
        <f>'5c. Spending- 2024 Report'!D61</f>
        <v>0</v>
      </c>
      <c r="G61" s="409">
        <f>'5d. Spending - 2025 Report'!D61</f>
        <v>0</v>
      </c>
      <c r="H61" s="392">
        <f t="shared" si="17"/>
        <v>0</v>
      </c>
    </row>
    <row r="62" spans="2:9" x14ac:dyDescent="0.3">
      <c r="B62" s="389"/>
      <c r="C62" s="389" t="s">
        <v>256</v>
      </c>
      <c r="D62" s="390">
        <f>'5a. Spending- 2022 Report '!D62</f>
        <v>0</v>
      </c>
      <c r="E62" s="391">
        <f>'5b. Spending- 2023 Report'!D62</f>
        <v>0</v>
      </c>
      <c r="F62" s="403">
        <f>'5c. Spending- 2024 Report'!D62</f>
        <v>0</v>
      </c>
      <c r="G62" s="409">
        <f>'5d. Spending - 2025 Report'!D62</f>
        <v>0</v>
      </c>
      <c r="H62" s="392">
        <f t="shared" si="17"/>
        <v>0</v>
      </c>
    </row>
    <row r="63" spans="2:9" ht="15" thickBot="1" x14ac:dyDescent="0.35">
      <c r="B63" s="393"/>
      <c r="C63" s="394" t="s">
        <v>257</v>
      </c>
      <c r="D63" s="395">
        <f>'5a. Spending- 2022 Report '!D63</f>
        <v>0</v>
      </c>
      <c r="E63" s="396">
        <f>'5b. Spending- 2023 Report'!D63</f>
        <v>0</v>
      </c>
      <c r="F63" s="405">
        <f>'5c. Spending- 2024 Report'!D63</f>
        <v>0</v>
      </c>
      <c r="G63" s="406">
        <f>'5d. Spending - 2025 Report'!D63</f>
        <v>0</v>
      </c>
      <c r="H63" s="397">
        <f t="shared" si="17"/>
        <v>0</v>
      </c>
    </row>
    <row r="64" spans="2:9" x14ac:dyDescent="0.3">
      <c r="B64" s="389" t="s">
        <v>10</v>
      </c>
      <c r="C64" s="389" t="s">
        <v>255</v>
      </c>
      <c r="D64" s="390">
        <f>'5a. Spending- 2022 Report '!D64</f>
        <v>0</v>
      </c>
      <c r="E64" s="391">
        <f>'5b. Spending- 2023 Report'!D64</f>
        <v>0</v>
      </c>
      <c r="F64" s="403">
        <f>'5c. Spending- 2024 Report'!D64</f>
        <v>0</v>
      </c>
      <c r="G64" s="409">
        <f>'5d. Spending - 2025 Report'!D64</f>
        <v>0</v>
      </c>
      <c r="H64" s="392">
        <f t="shared" si="17"/>
        <v>0</v>
      </c>
    </row>
    <row r="65" spans="2:8" x14ac:dyDescent="0.3">
      <c r="B65" s="389"/>
      <c r="C65" s="389" t="s">
        <v>256</v>
      </c>
      <c r="D65" s="390">
        <f>'5a. Spending- 2022 Report '!D65</f>
        <v>76270</v>
      </c>
      <c r="E65" s="391">
        <f>'5b. Spending- 2023 Report'!D65</f>
        <v>0</v>
      </c>
      <c r="F65" s="403">
        <f>'5c. Spending- 2024 Report'!D65</f>
        <v>0</v>
      </c>
      <c r="G65" s="409">
        <f>'5d. Spending - 2025 Report'!D65</f>
        <v>0</v>
      </c>
      <c r="H65" s="392">
        <f t="shared" si="17"/>
        <v>76270</v>
      </c>
    </row>
    <row r="66" spans="2:8" ht="15" thickBot="1" x14ac:dyDescent="0.35">
      <c r="B66" s="393"/>
      <c r="C66" s="394" t="s">
        <v>257</v>
      </c>
      <c r="D66" s="395">
        <f>'5a. Spending- 2022 Report '!D66</f>
        <v>76270</v>
      </c>
      <c r="E66" s="396">
        <f>'5b. Spending- 2023 Report'!D66</f>
        <v>0</v>
      </c>
      <c r="F66" s="405">
        <f>'5c. Spending- 2024 Report'!D66</f>
        <v>0</v>
      </c>
      <c r="G66" s="406">
        <f>'5d. Spending - 2025 Report'!D66</f>
        <v>0</v>
      </c>
      <c r="H66" s="397">
        <f t="shared" si="17"/>
        <v>76270</v>
      </c>
    </row>
    <row r="67" spans="2:8" x14ac:dyDescent="0.3">
      <c r="B67" s="389" t="s">
        <v>336</v>
      </c>
      <c r="C67" s="389" t="s">
        <v>255</v>
      </c>
      <c r="D67" s="390">
        <f>'5a. Spending- 2022 Report '!D67</f>
        <v>0</v>
      </c>
      <c r="E67" s="391">
        <f>'5b. Spending- 2023 Report'!D67</f>
        <v>0</v>
      </c>
      <c r="F67" s="403">
        <f>'5c. Spending- 2024 Report'!D67</f>
        <v>0</v>
      </c>
      <c r="G67" s="409">
        <f>'5d. Spending - 2025 Report'!D67</f>
        <v>0</v>
      </c>
      <c r="H67" s="392">
        <f t="shared" si="17"/>
        <v>0</v>
      </c>
    </row>
    <row r="68" spans="2:8" x14ac:dyDescent="0.3">
      <c r="B68" s="389"/>
      <c r="C68" s="389" t="s">
        <v>256</v>
      </c>
      <c r="D68" s="390">
        <f>'5a. Spending- 2022 Report '!D68</f>
        <v>0</v>
      </c>
      <c r="E68" s="391">
        <f>'5b. Spending- 2023 Report'!D68</f>
        <v>0</v>
      </c>
      <c r="F68" s="403">
        <f>'5c. Spending- 2024 Report'!D68</f>
        <v>0</v>
      </c>
      <c r="G68" s="409">
        <f>'5d. Spending - 2025 Report'!D68</f>
        <v>0</v>
      </c>
      <c r="H68" s="392">
        <f t="shared" si="17"/>
        <v>0</v>
      </c>
    </row>
    <row r="69" spans="2:8" ht="15" thickBot="1" x14ac:dyDescent="0.35">
      <c r="B69" s="393"/>
      <c r="C69" s="394" t="s">
        <v>257</v>
      </c>
      <c r="D69" s="395">
        <f>'5a. Spending- 2022 Report '!D69</f>
        <v>0</v>
      </c>
      <c r="E69" s="396">
        <f>'5b. Spending- 2023 Report'!D69</f>
        <v>0</v>
      </c>
      <c r="F69" s="405">
        <f>'5c. Spending- 2024 Report'!D69</f>
        <v>0</v>
      </c>
      <c r="G69" s="406">
        <f>'5d. Spending - 2025 Report'!D69</f>
        <v>0</v>
      </c>
      <c r="H69" s="397">
        <f t="shared" si="17"/>
        <v>0</v>
      </c>
    </row>
    <row r="70" spans="2:8" x14ac:dyDescent="0.3">
      <c r="B70" s="389" t="s">
        <v>349</v>
      </c>
      <c r="C70" s="389" t="s">
        <v>255</v>
      </c>
      <c r="D70" s="390">
        <f>'5a. Spending- 2022 Report '!D70</f>
        <v>0</v>
      </c>
      <c r="E70" s="391">
        <f>'5b. Spending- 2023 Report'!D70</f>
        <v>0</v>
      </c>
      <c r="F70" s="403">
        <f>'5c. Spending- 2024 Report'!D70</f>
        <v>0</v>
      </c>
      <c r="G70" s="409">
        <f>'5d. Spending - 2025 Report'!D70</f>
        <v>0</v>
      </c>
      <c r="H70" s="392">
        <f t="shared" si="17"/>
        <v>0</v>
      </c>
    </row>
    <row r="71" spans="2:8" x14ac:dyDescent="0.3">
      <c r="B71" s="389"/>
      <c r="C71" s="389" t="s">
        <v>256</v>
      </c>
      <c r="D71" s="390">
        <f>'5a. Spending- 2022 Report '!D71</f>
        <v>0</v>
      </c>
      <c r="E71" s="391">
        <f>'5b. Spending- 2023 Report'!D71</f>
        <v>0</v>
      </c>
      <c r="F71" s="403">
        <f>'5c. Spending- 2024 Report'!D71</f>
        <v>0</v>
      </c>
      <c r="G71" s="409">
        <f>'5d. Spending - 2025 Report'!D71</f>
        <v>0</v>
      </c>
      <c r="H71" s="392">
        <f t="shared" si="17"/>
        <v>0</v>
      </c>
    </row>
    <row r="72" spans="2:8" ht="15" thickBot="1" x14ac:dyDescent="0.35">
      <c r="B72" s="393"/>
      <c r="C72" s="394" t="s">
        <v>257</v>
      </c>
      <c r="D72" s="395">
        <f>'5a. Spending- 2022 Report '!D72</f>
        <v>0</v>
      </c>
      <c r="E72" s="396">
        <f>'5b. Spending- 2023 Report'!D72</f>
        <v>0</v>
      </c>
      <c r="F72" s="405">
        <f>'5c. Spending- 2024 Report'!D72</f>
        <v>0</v>
      </c>
      <c r="G72" s="406">
        <f>'5d. Spending - 2025 Report'!D72</f>
        <v>0</v>
      </c>
      <c r="H72" s="397">
        <f t="shared" si="17"/>
        <v>0</v>
      </c>
    </row>
    <row r="73" spans="2:8" x14ac:dyDescent="0.3">
      <c r="B73" s="389" t="s">
        <v>341</v>
      </c>
      <c r="C73" s="389" t="s">
        <v>255</v>
      </c>
      <c r="D73" s="390">
        <f>'5a. Spending- 2022 Report '!D73</f>
        <v>0</v>
      </c>
      <c r="E73" s="391">
        <f>'5b. Spending- 2023 Report'!D73</f>
        <v>0</v>
      </c>
      <c r="F73" s="403">
        <f>'5c. Spending- 2024 Report'!D73</f>
        <v>0</v>
      </c>
      <c r="G73" s="409">
        <f>'5d. Spending - 2025 Report'!D73</f>
        <v>0</v>
      </c>
      <c r="H73" s="392">
        <f t="shared" si="17"/>
        <v>0</v>
      </c>
    </row>
    <row r="74" spans="2:8" x14ac:dyDescent="0.3">
      <c r="B74" s="389"/>
      <c r="C74" s="389" t="s">
        <v>256</v>
      </c>
      <c r="D74" s="390">
        <f>'5a. Spending- 2022 Report '!D74</f>
        <v>0</v>
      </c>
      <c r="E74" s="391">
        <f>'5b. Spending- 2023 Report'!D74</f>
        <v>0</v>
      </c>
      <c r="F74" s="403">
        <f>'5c. Spending- 2024 Report'!D74</f>
        <v>0</v>
      </c>
      <c r="G74" s="409">
        <f>'5d. Spending - 2025 Report'!D74</f>
        <v>0</v>
      </c>
      <c r="H74" s="392">
        <f t="shared" si="17"/>
        <v>0</v>
      </c>
    </row>
    <row r="75" spans="2:8" ht="15" thickBot="1" x14ac:dyDescent="0.35">
      <c r="B75" s="393"/>
      <c r="C75" s="394" t="s">
        <v>257</v>
      </c>
      <c r="D75" s="395">
        <f>'5a. Spending- 2022 Report '!D75</f>
        <v>0</v>
      </c>
      <c r="E75" s="396">
        <f>'5b. Spending- 2023 Report'!D75</f>
        <v>0</v>
      </c>
      <c r="F75" s="405">
        <f>'5c. Spending- 2024 Report'!D75</f>
        <v>0</v>
      </c>
      <c r="G75" s="406">
        <f>'5d. Spending - 2025 Report'!D75</f>
        <v>0</v>
      </c>
      <c r="H75" s="397">
        <f t="shared" si="17"/>
        <v>0</v>
      </c>
    </row>
    <row r="76" spans="2:8" x14ac:dyDescent="0.3">
      <c r="B76" s="389" t="s">
        <v>337</v>
      </c>
      <c r="C76" s="389" t="s">
        <v>255</v>
      </c>
      <c r="D76" s="390">
        <f>'5a. Spending- 2022 Report '!D76</f>
        <v>0</v>
      </c>
      <c r="E76" s="391">
        <f>'5b. Spending- 2023 Report'!D76</f>
        <v>0</v>
      </c>
      <c r="F76" s="403">
        <f>'5c. Spending- 2024 Report'!D76</f>
        <v>0</v>
      </c>
      <c r="G76" s="409">
        <f>'5d. Spending - 2025 Report'!D76</f>
        <v>0</v>
      </c>
      <c r="H76" s="392">
        <f t="shared" si="17"/>
        <v>0</v>
      </c>
    </row>
    <row r="77" spans="2:8" x14ac:dyDescent="0.3">
      <c r="B77" s="389"/>
      <c r="C77" s="389" t="s">
        <v>256</v>
      </c>
      <c r="D77" s="390">
        <f>'5a. Spending- 2022 Report '!D77</f>
        <v>3393.87</v>
      </c>
      <c r="E77" s="391">
        <f>'5b. Spending- 2023 Report'!D77</f>
        <v>91628.85</v>
      </c>
      <c r="F77" s="403">
        <f>'5c. Spending- 2024 Report'!D77</f>
        <v>0</v>
      </c>
      <c r="G77" s="409">
        <f>'5d. Spending - 2025 Report'!D77</f>
        <v>0</v>
      </c>
      <c r="H77" s="392">
        <f t="shared" si="17"/>
        <v>95022.720000000001</v>
      </c>
    </row>
    <row r="78" spans="2:8" ht="15" thickBot="1" x14ac:dyDescent="0.35">
      <c r="B78" s="393"/>
      <c r="C78" s="394" t="s">
        <v>257</v>
      </c>
      <c r="D78" s="395">
        <f>'5a. Spending- 2022 Report '!D78</f>
        <v>3393.87</v>
      </c>
      <c r="E78" s="396">
        <f>'5b. Spending- 2023 Report'!D78</f>
        <v>91628.85</v>
      </c>
      <c r="F78" s="405">
        <f>'5c. Spending- 2024 Report'!D78</f>
        <v>0</v>
      </c>
      <c r="G78" s="406">
        <f>'5d. Spending - 2025 Report'!D78</f>
        <v>0</v>
      </c>
      <c r="H78" s="397">
        <f t="shared" si="17"/>
        <v>95022.720000000001</v>
      </c>
    </row>
    <row r="79" spans="2:8" x14ac:dyDescent="0.3">
      <c r="B79" s="389" t="s">
        <v>11</v>
      </c>
      <c r="C79" s="389" t="s">
        <v>255</v>
      </c>
      <c r="D79" s="390">
        <f>'5a. Spending- 2022 Report '!D79</f>
        <v>1216</v>
      </c>
      <c r="E79" s="391">
        <f>'5b. Spending- 2023 Report'!D79</f>
        <v>0</v>
      </c>
      <c r="F79" s="403">
        <f>'5c. Spending- 2024 Report'!D79</f>
        <v>0</v>
      </c>
      <c r="G79" s="409">
        <f>'5d. Spending - 2025 Report'!D79</f>
        <v>0</v>
      </c>
      <c r="H79" s="392">
        <f t="shared" si="17"/>
        <v>1216</v>
      </c>
    </row>
    <row r="80" spans="2:8" x14ac:dyDescent="0.3">
      <c r="B80" s="389"/>
      <c r="C80" s="389" t="s">
        <v>256</v>
      </c>
      <c r="D80" s="390">
        <f>'5a. Spending- 2022 Report '!D80</f>
        <v>8000</v>
      </c>
      <c r="E80" s="391">
        <f>'5b. Spending- 2023 Report'!D80</f>
        <v>0</v>
      </c>
      <c r="F80" s="403">
        <f>'5c. Spending- 2024 Report'!D80</f>
        <v>0</v>
      </c>
      <c r="G80" s="409">
        <f>'5d. Spending - 2025 Report'!D80</f>
        <v>0</v>
      </c>
      <c r="H80" s="392">
        <f t="shared" si="17"/>
        <v>8000</v>
      </c>
    </row>
    <row r="81" spans="2:8" ht="15" thickBot="1" x14ac:dyDescent="0.35">
      <c r="B81" s="393"/>
      <c r="C81" s="394" t="s">
        <v>257</v>
      </c>
      <c r="D81" s="410">
        <f>'5a. Spending- 2022 Report '!D81</f>
        <v>9216</v>
      </c>
      <c r="E81" s="411">
        <f>'5b. Spending- 2023 Report'!D81</f>
        <v>0</v>
      </c>
      <c r="F81" s="412">
        <f>'5c. Spending- 2024 Report'!D81</f>
        <v>0</v>
      </c>
      <c r="G81" s="413">
        <f>'5d. Spending - 2025 Report'!D81</f>
        <v>0</v>
      </c>
      <c r="H81" s="424">
        <f t="shared" si="17"/>
        <v>9216</v>
      </c>
    </row>
    <row r="82" spans="2:8" x14ac:dyDescent="0.3">
      <c r="B82" s="389" t="s">
        <v>350</v>
      </c>
      <c r="C82" s="389" t="s">
        <v>255</v>
      </c>
      <c r="D82" s="390">
        <f>'5a. Spending- 2022 Report '!D82</f>
        <v>0</v>
      </c>
      <c r="E82" s="391">
        <f>'5b. Spending- 2023 Report'!D82</f>
        <v>101096</v>
      </c>
      <c r="F82" s="403">
        <f>'5c. Spending- 2024 Report'!D82</f>
        <v>0</v>
      </c>
      <c r="G82" s="409">
        <f>'5d. Spending - 2025 Report'!D82</f>
        <v>0</v>
      </c>
      <c r="H82" s="392">
        <f t="shared" si="17"/>
        <v>101096</v>
      </c>
    </row>
    <row r="83" spans="2:8" x14ac:dyDescent="0.3">
      <c r="B83" s="389"/>
      <c r="C83" s="389" t="s">
        <v>256</v>
      </c>
      <c r="D83" s="390">
        <f>'5a. Spending- 2022 Report '!D83</f>
        <v>0</v>
      </c>
      <c r="E83" s="391">
        <f>'5b. Spending- 2023 Report'!D83</f>
        <v>0</v>
      </c>
      <c r="F83" s="403">
        <f>'5c. Spending- 2024 Report'!D83</f>
        <v>0</v>
      </c>
      <c r="G83" s="409">
        <f>'5d. Spending - 2025 Report'!D83</f>
        <v>0</v>
      </c>
      <c r="H83" s="392">
        <f t="shared" si="17"/>
        <v>0</v>
      </c>
    </row>
    <row r="84" spans="2:8" ht="15" thickBot="1" x14ac:dyDescent="0.35">
      <c r="B84" s="393"/>
      <c r="C84" s="394" t="s">
        <v>257</v>
      </c>
      <c r="D84" s="410">
        <f>'5a. Spending- 2022 Report '!D84</f>
        <v>0</v>
      </c>
      <c r="E84" s="411">
        <f>'5b. Spending- 2023 Report'!D84</f>
        <v>101096</v>
      </c>
      <c r="F84" s="412">
        <f>'5c. Spending- 2024 Report'!D84</f>
        <v>0</v>
      </c>
      <c r="G84" s="413">
        <f>'5d. Spending - 2025 Report'!D84</f>
        <v>0</v>
      </c>
      <c r="H84" s="424">
        <f t="shared" si="17"/>
        <v>101096</v>
      </c>
    </row>
    <row r="85" spans="2:8" x14ac:dyDescent="0.3">
      <c r="B85" s="389" t="s">
        <v>351</v>
      </c>
      <c r="C85" s="389" t="s">
        <v>255</v>
      </c>
      <c r="D85" s="390">
        <f>'5a. Spending- 2022 Report '!D85</f>
        <v>0</v>
      </c>
      <c r="E85" s="391">
        <f>'5b. Spending- 2023 Report'!D85</f>
        <v>0</v>
      </c>
      <c r="F85" s="403">
        <f>'5c. Spending- 2024 Report'!D85</f>
        <v>0</v>
      </c>
      <c r="G85" s="409">
        <f>'5d. Spending - 2025 Report'!D85</f>
        <v>0</v>
      </c>
      <c r="H85" s="392">
        <f t="shared" si="17"/>
        <v>0</v>
      </c>
    </row>
    <row r="86" spans="2:8" x14ac:dyDescent="0.3">
      <c r="B86" s="389"/>
      <c r="C86" s="389" t="s">
        <v>256</v>
      </c>
      <c r="D86" s="390">
        <f>'5a. Spending- 2022 Report '!D86</f>
        <v>76270</v>
      </c>
      <c r="E86" s="391">
        <f>'5b. Spending- 2023 Report'!D86</f>
        <v>0</v>
      </c>
      <c r="F86" s="403">
        <f>'5c. Spending- 2024 Report'!D86</f>
        <v>0</v>
      </c>
      <c r="G86" s="409">
        <f>'5d. Spending - 2025 Report'!D86</f>
        <v>0</v>
      </c>
      <c r="H86" s="392">
        <f t="shared" si="17"/>
        <v>76270</v>
      </c>
    </row>
    <row r="87" spans="2:8" ht="15" thickBot="1" x14ac:dyDescent="0.35">
      <c r="B87" s="393"/>
      <c r="C87" s="394" t="s">
        <v>257</v>
      </c>
      <c r="D87" s="410">
        <f>'5a. Spending- 2022 Report '!D87</f>
        <v>76270</v>
      </c>
      <c r="E87" s="411">
        <f>'5b. Spending- 2023 Report'!D87</f>
        <v>0</v>
      </c>
      <c r="F87" s="412">
        <f>'5c. Spending- 2024 Report'!D87</f>
        <v>0</v>
      </c>
      <c r="G87" s="413">
        <f>'5d. Spending - 2025 Report'!D87</f>
        <v>0</v>
      </c>
      <c r="H87" s="424">
        <f t="shared" si="17"/>
        <v>76270</v>
      </c>
    </row>
    <row r="88" spans="2:8" x14ac:dyDescent="0.3">
      <c r="B88" s="389" t="s">
        <v>352</v>
      </c>
      <c r="C88" s="389" t="s">
        <v>255</v>
      </c>
      <c r="D88" s="390">
        <f>'5a. Spending- 2022 Report '!D88</f>
        <v>25087.53</v>
      </c>
      <c r="E88" s="391">
        <f>'5b. Spending- 2023 Report'!D88</f>
        <v>2969.53</v>
      </c>
      <c r="F88" s="403">
        <f>'5c. Spending- 2024 Report'!D88</f>
        <v>0</v>
      </c>
      <c r="G88" s="409">
        <f>'5d. Spending - 2025 Report'!D88</f>
        <v>0</v>
      </c>
      <c r="H88" s="392">
        <f t="shared" si="17"/>
        <v>28057.059999999998</v>
      </c>
    </row>
    <row r="89" spans="2:8" x14ac:dyDescent="0.3">
      <c r="B89" s="389"/>
      <c r="C89" s="389" t="s">
        <v>256</v>
      </c>
      <c r="D89" s="390">
        <f>'5a. Spending- 2022 Report '!D89</f>
        <v>6150.38</v>
      </c>
      <c r="E89" s="391">
        <f>'5b. Spending- 2023 Report'!D89</f>
        <v>6150.38</v>
      </c>
      <c r="F89" s="403">
        <f>'5c. Spending- 2024 Report'!D89</f>
        <v>0</v>
      </c>
      <c r="G89" s="409">
        <f>'5d. Spending - 2025 Report'!D89</f>
        <v>0</v>
      </c>
      <c r="H89" s="392">
        <f t="shared" si="17"/>
        <v>12300.76</v>
      </c>
    </row>
    <row r="90" spans="2:8" ht="15" thickBot="1" x14ac:dyDescent="0.35">
      <c r="B90" s="393"/>
      <c r="C90" s="394" t="s">
        <v>257</v>
      </c>
      <c r="D90" s="410">
        <f>'5a. Spending- 2022 Report '!D90</f>
        <v>31237.91</v>
      </c>
      <c r="E90" s="411">
        <f>'5b. Spending- 2023 Report'!D90</f>
        <v>9119.91</v>
      </c>
      <c r="F90" s="412">
        <f>'5c. Spending- 2024 Report'!D90</f>
        <v>0</v>
      </c>
      <c r="G90" s="413">
        <f>'5d. Spending - 2025 Report'!D90</f>
        <v>0</v>
      </c>
      <c r="H90" s="424">
        <f t="shared" si="17"/>
        <v>40357.82</v>
      </c>
    </row>
    <row r="91" spans="2:8" x14ac:dyDescent="0.3">
      <c r="B91" s="389" t="s">
        <v>353</v>
      </c>
      <c r="C91" s="389" t="s">
        <v>255</v>
      </c>
      <c r="D91" s="390">
        <f>'5a. Spending- 2022 Report '!D91</f>
        <v>0</v>
      </c>
      <c r="E91" s="391">
        <f>'5b. Spending- 2023 Report'!D91</f>
        <v>0</v>
      </c>
      <c r="F91" s="403">
        <f>'5c. Spending- 2024 Report'!D91</f>
        <v>0</v>
      </c>
      <c r="G91" s="409">
        <f>'5d. Spending - 2025 Report'!D91</f>
        <v>0</v>
      </c>
      <c r="H91" s="392">
        <f t="shared" si="17"/>
        <v>0</v>
      </c>
    </row>
    <row r="92" spans="2:8" x14ac:dyDescent="0.3">
      <c r="B92" s="389"/>
      <c r="C92" s="389" t="s">
        <v>256</v>
      </c>
      <c r="D92" s="390">
        <f>'5a. Spending- 2022 Report '!D92</f>
        <v>0</v>
      </c>
      <c r="E92" s="391">
        <f>'5b. Spending- 2023 Report'!D92</f>
        <v>0</v>
      </c>
      <c r="F92" s="403">
        <f>'5c. Spending- 2024 Report'!D92</f>
        <v>0</v>
      </c>
      <c r="G92" s="409">
        <f>'5d. Spending - 2025 Report'!D92</f>
        <v>0</v>
      </c>
      <c r="H92" s="392">
        <f t="shared" si="17"/>
        <v>0</v>
      </c>
    </row>
    <row r="93" spans="2:8" ht="15" thickBot="1" x14ac:dyDescent="0.35">
      <c r="B93" s="393"/>
      <c r="C93" s="394" t="s">
        <v>257</v>
      </c>
      <c r="D93" s="410">
        <f>'5a. Spending- 2022 Report '!D93</f>
        <v>0</v>
      </c>
      <c r="E93" s="411">
        <f>'5b. Spending- 2023 Report'!D93</f>
        <v>0</v>
      </c>
      <c r="F93" s="412">
        <f>'5c. Spending- 2024 Report'!D93</f>
        <v>0</v>
      </c>
      <c r="G93" s="413">
        <f>'5d. Spending - 2025 Report'!D93</f>
        <v>0</v>
      </c>
      <c r="H93" s="424">
        <f t="shared" si="17"/>
        <v>0</v>
      </c>
    </row>
    <row r="94" spans="2:8" x14ac:dyDescent="0.3">
      <c r="B94" s="445" t="s">
        <v>258</v>
      </c>
      <c r="C94" s="389" t="s">
        <v>255</v>
      </c>
      <c r="D94" s="390">
        <f>'5a. Spending- 2022 Report '!D94</f>
        <v>138902.75</v>
      </c>
      <c r="E94" s="391">
        <f>'5b. Spending- 2023 Report'!D94</f>
        <v>699508.18</v>
      </c>
      <c r="F94" s="403">
        <f>'5c. Spending- 2024 Report'!D94</f>
        <v>0</v>
      </c>
      <c r="G94" s="409">
        <f>'5d. Spending - 2025 Report'!D94</f>
        <v>0</v>
      </c>
      <c r="H94" s="392">
        <f t="shared" si="17"/>
        <v>838410.93</v>
      </c>
    </row>
    <row r="95" spans="2:8" x14ac:dyDescent="0.3">
      <c r="B95" s="389"/>
      <c r="C95" s="389" t="s">
        <v>256</v>
      </c>
      <c r="D95" s="390">
        <f>'5a. Spending- 2022 Report '!D95</f>
        <v>467438.11</v>
      </c>
      <c r="E95" s="391">
        <f>'5b. Spending- 2023 Report'!D95</f>
        <v>313931.76</v>
      </c>
      <c r="F95" s="403">
        <f>'5c. Spending- 2024 Report'!D95</f>
        <v>0</v>
      </c>
      <c r="G95" s="409">
        <f>'5d. Spending - 2025 Report'!D95</f>
        <v>0</v>
      </c>
      <c r="H95" s="392">
        <f t="shared" si="17"/>
        <v>781369.87</v>
      </c>
    </row>
    <row r="96" spans="2:8" ht="15" thickBot="1" x14ac:dyDescent="0.35">
      <c r="B96" s="393"/>
      <c r="C96" s="394" t="s">
        <v>257</v>
      </c>
      <c r="D96" s="410">
        <f>'5a. Spending- 2022 Report '!D96</f>
        <v>606340.41</v>
      </c>
      <c r="E96" s="411">
        <f>'5b. Spending- 2023 Report'!D96</f>
        <v>1013439.9400000001</v>
      </c>
      <c r="F96" s="412">
        <f>'5c. Spending- 2024 Report'!D96</f>
        <v>0</v>
      </c>
      <c r="G96" s="413">
        <f>'5d. Spending - 2025 Report'!D96</f>
        <v>0</v>
      </c>
      <c r="H96" s="424">
        <f t="shared" si="17"/>
        <v>1619780.35</v>
      </c>
    </row>
    <row r="97" spans="2:8" ht="15" thickBot="1" x14ac:dyDescent="0.35"/>
    <row r="98" spans="2:8" ht="15" thickBot="1" x14ac:dyDescent="0.35">
      <c r="D98" s="980" t="s">
        <v>259</v>
      </c>
      <c r="E98" s="981"/>
      <c r="F98" s="981"/>
      <c r="G98" s="982"/>
    </row>
    <row r="99" spans="2:8" ht="15" thickBot="1" x14ac:dyDescent="0.35">
      <c r="D99" s="383">
        <v>2022</v>
      </c>
      <c r="E99" s="384">
        <v>2023</v>
      </c>
      <c r="F99" s="425">
        <v>2024</v>
      </c>
      <c r="G99" s="385">
        <v>2025</v>
      </c>
      <c r="H99" s="385" t="s">
        <v>253</v>
      </c>
    </row>
    <row r="100" spans="2:8" ht="15" thickBot="1" x14ac:dyDescent="0.35">
      <c r="B100" s="121" t="s">
        <v>223</v>
      </c>
      <c r="C100" s="399" t="s">
        <v>254</v>
      </c>
      <c r="D100" s="386" t="s">
        <v>232</v>
      </c>
      <c r="E100" s="387" t="s">
        <v>232</v>
      </c>
      <c r="F100" s="426" t="s">
        <v>232</v>
      </c>
      <c r="G100" s="388" t="s">
        <v>232</v>
      </c>
      <c r="H100" s="400" t="s">
        <v>232</v>
      </c>
    </row>
    <row r="101" spans="2:8" x14ac:dyDescent="0.3">
      <c r="B101" s="389" t="s">
        <v>343</v>
      </c>
      <c r="C101" s="401" t="s">
        <v>260</v>
      </c>
      <c r="D101" s="390">
        <f>'5a. Spending- 2022 Report '!D101</f>
        <v>0</v>
      </c>
      <c r="E101" s="391">
        <f>'5b. Spending- 2023 Report'!D101</f>
        <v>0</v>
      </c>
      <c r="F101" s="403">
        <f>'5c. Spending- 2024 Report'!D101</f>
        <v>0</v>
      </c>
      <c r="G101" s="404">
        <f>'5d. Spending - 2025 Report'!D101</f>
        <v>0</v>
      </c>
      <c r="H101" s="392">
        <f t="shared" ref="H101:H148" si="18">SUM(D101:G101)</f>
        <v>0</v>
      </c>
    </row>
    <row r="102" spans="2:8" x14ac:dyDescent="0.3">
      <c r="B102" s="389"/>
      <c r="C102" s="401" t="s">
        <v>261</v>
      </c>
      <c r="D102" s="390">
        <f>'5a. Spending- 2022 Report '!D102</f>
        <v>0</v>
      </c>
      <c r="E102" s="391">
        <f>'5b. Spending- 2023 Report'!D102</f>
        <v>0</v>
      </c>
      <c r="F102" s="403">
        <f>'5c. Spending- 2024 Report'!D102</f>
        <v>0</v>
      </c>
      <c r="G102" s="409">
        <f>'5d. Spending - 2025 Report'!D102</f>
        <v>0</v>
      </c>
      <c r="H102" s="392">
        <f t="shared" si="18"/>
        <v>0</v>
      </c>
    </row>
    <row r="103" spans="2:8" ht="15" thickBot="1" x14ac:dyDescent="0.35">
      <c r="B103" s="393"/>
      <c r="C103" s="402" t="s">
        <v>257</v>
      </c>
      <c r="D103" s="395">
        <f>'5a. Spending- 2022 Report '!D103</f>
        <v>0</v>
      </c>
      <c r="E103" s="396">
        <f>'5b. Spending- 2023 Report'!D103</f>
        <v>0</v>
      </c>
      <c r="F103" s="405">
        <f>'5c. Spending- 2024 Report'!D103</f>
        <v>0</v>
      </c>
      <c r="G103" s="406">
        <f>'5d. Spending - 2025 Report'!D103</f>
        <v>0</v>
      </c>
      <c r="H103" s="397">
        <f t="shared" si="18"/>
        <v>0</v>
      </c>
    </row>
    <row r="104" spans="2:8" x14ac:dyDescent="0.3">
      <c r="B104" s="389" t="s">
        <v>7</v>
      </c>
      <c r="C104" s="401" t="s">
        <v>260</v>
      </c>
      <c r="D104" s="390">
        <f>'5a. Spending- 2022 Report '!D104</f>
        <v>0</v>
      </c>
      <c r="E104" s="391">
        <f>'5b. Spending- 2023 Report'!D104</f>
        <v>0</v>
      </c>
      <c r="F104" s="403">
        <f>'5c. Spending- 2024 Report'!D104</f>
        <v>0</v>
      </c>
      <c r="G104" s="409">
        <f>'5d. Spending - 2025 Report'!D104</f>
        <v>0</v>
      </c>
      <c r="H104" s="392">
        <f t="shared" si="18"/>
        <v>0</v>
      </c>
    </row>
    <row r="105" spans="2:8" x14ac:dyDescent="0.3">
      <c r="B105" s="389"/>
      <c r="C105" s="401" t="s">
        <v>261</v>
      </c>
      <c r="D105" s="390">
        <f>'5a. Spending- 2022 Report '!D105</f>
        <v>0</v>
      </c>
      <c r="E105" s="391">
        <f>'5b. Spending- 2023 Report'!D105</f>
        <v>0</v>
      </c>
      <c r="F105" s="403">
        <f>'5c. Spending- 2024 Report'!D105</f>
        <v>0</v>
      </c>
      <c r="G105" s="409">
        <f>'5d. Spending - 2025 Report'!D105</f>
        <v>0</v>
      </c>
      <c r="H105" s="392">
        <f t="shared" si="18"/>
        <v>0</v>
      </c>
    </row>
    <row r="106" spans="2:8" ht="15" thickBot="1" x14ac:dyDescent="0.35">
      <c r="B106" s="393"/>
      <c r="C106" s="402" t="s">
        <v>257</v>
      </c>
      <c r="D106" s="395">
        <f>'5a. Spending- 2022 Report '!D106</f>
        <v>0</v>
      </c>
      <c r="E106" s="396">
        <f>'5b. Spending- 2023 Report'!D106</f>
        <v>0</v>
      </c>
      <c r="F106" s="405">
        <f>'5c. Spending- 2024 Report'!D106</f>
        <v>0</v>
      </c>
      <c r="G106" s="406">
        <f>'5d. Spending - 2025 Report'!D106</f>
        <v>0</v>
      </c>
      <c r="H106" s="397">
        <f t="shared" si="18"/>
        <v>0</v>
      </c>
    </row>
    <row r="107" spans="2:8" x14ac:dyDescent="0.3">
      <c r="B107" s="389" t="s">
        <v>8</v>
      </c>
      <c r="C107" s="401" t="s">
        <v>260</v>
      </c>
      <c r="D107" s="390">
        <f>'5a. Spending- 2022 Report '!D107</f>
        <v>0</v>
      </c>
      <c r="E107" s="391">
        <f>'5b. Spending- 2023 Report'!D107</f>
        <v>0</v>
      </c>
      <c r="F107" s="403">
        <f>'5c. Spending- 2024 Report'!D107</f>
        <v>0</v>
      </c>
      <c r="G107" s="409">
        <f>'5d. Spending - 2025 Report'!D107</f>
        <v>0</v>
      </c>
      <c r="H107" s="392">
        <f t="shared" si="18"/>
        <v>0</v>
      </c>
    </row>
    <row r="108" spans="2:8" x14ac:dyDescent="0.3">
      <c r="B108" s="389"/>
      <c r="C108" s="401" t="s">
        <v>261</v>
      </c>
      <c r="D108" s="390">
        <f>'5a. Spending- 2022 Report '!D108</f>
        <v>7344</v>
      </c>
      <c r="E108" s="391">
        <f>'5b. Spending- 2023 Report'!D109</f>
        <v>18080</v>
      </c>
      <c r="F108" s="403">
        <f>'5c. Spending- 2024 Report'!D108</f>
        <v>0</v>
      </c>
      <c r="G108" s="409">
        <f>'5d. Spending - 2025 Report'!D108</f>
        <v>0</v>
      </c>
      <c r="H108" s="392">
        <f t="shared" si="18"/>
        <v>25424</v>
      </c>
    </row>
    <row r="109" spans="2:8" ht="15" thickBot="1" x14ac:dyDescent="0.35">
      <c r="B109" s="393"/>
      <c r="C109" s="402" t="s">
        <v>257</v>
      </c>
      <c r="D109" s="395">
        <f>'5a. Spending- 2022 Report '!D109</f>
        <v>7344</v>
      </c>
      <c r="E109" s="396">
        <f>'5b. Spending- 2023 Report'!D110</f>
        <v>0</v>
      </c>
      <c r="F109" s="405">
        <f>'5c. Spending- 2024 Report'!D109</f>
        <v>0</v>
      </c>
      <c r="G109" s="406">
        <f>'5d. Spending - 2025 Report'!D109</f>
        <v>0</v>
      </c>
      <c r="H109" s="397">
        <f t="shared" si="18"/>
        <v>7344</v>
      </c>
    </row>
    <row r="110" spans="2:8" x14ac:dyDescent="0.3">
      <c r="B110" s="389" t="s">
        <v>9</v>
      </c>
      <c r="C110" s="401" t="s">
        <v>260</v>
      </c>
      <c r="D110" s="390">
        <f>'5a. Spending- 2022 Report '!D110</f>
        <v>0</v>
      </c>
      <c r="E110" s="391">
        <f>'5b. Spending- 2023 Report'!D111</f>
        <v>106132.61</v>
      </c>
      <c r="F110" s="403">
        <f>'5c. Spending- 2024 Report'!D110</f>
        <v>0</v>
      </c>
      <c r="G110" s="409">
        <f>'5d. Spending - 2025 Report'!D110</f>
        <v>0</v>
      </c>
      <c r="H110" s="392">
        <f t="shared" si="18"/>
        <v>106132.61</v>
      </c>
    </row>
    <row r="111" spans="2:8" x14ac:dyDescent="0.3">
      <c r="B111" s="389"/>
      <c r="C111" s="401" t="s">
        <v>261</v>
      </c>
      <c r="D111" s="390">
        <f>'5a. Spending- 2022 Report '!D111</f>
        <v>60706</v>
      </c>
      <c r="E111" s="391">
        <f>'5b. Spending- 2023 Report'!D112</f>
        <v>106132.61</v>
      </c>
      <c r="F111" s="403">
        <f>'5c. Spending- 2024 Report'!D111</f>
        <v>0</v>
      </c>
      <c r="G111" s="409">
        <f>'5d. Spending - 2025 Report'!D111</f>
        <v>0</v>
      </c>
      <c r="H111" s="392">
        <f t="shared" si="18"/>
        <v>166838.60999999999</v>
      </c>
    </row>
    <row r="112" spans="2:8" ht="15" thickBot="1" x14ac:dyDescent="0.35">
      <c r="B112" s="393"/>
      <c r="C112" s="402" t="s">
        <v>257</v>
      </c>
      <c r="D112" s="395">
        <f>'5a. Spending- 2022 Report '!D112</f>
        <v>60706</v>
      </c>
      <c r="E112" s="396">
        <f>'5b. Spending- 2023 Report'!D113</f>
        <v>0</v>
      </c>
      <c r="F112" s="405">
        <f>'5c. Spending- 2024 Report'!D112</f>
        <v>0</v>
      </c>
      <c r="G112" s="406">
        <f>'5d. Spending - 2025 Report'!D112</f>
        <v>0</v>
      </c>
      <c r="H112" s="397">
        <f t="shared" si="18"/>
        <v>60706</v>
      </c>
    </row>
    <row r="113" spans="2:8" x14ac:dyDescent="0.3">
      <c r="B113" s="389" t="s">
        <v>335</v>
      </c>
      <c r="C113" s="401" t="s">
        <v>260</v>
      </c>
      <c r="D113" s="390">
        <f>'5a. Spending- 2022 Report '!D113</f>
        <v>0</v>
      </c>
      <c r="E113" s="391">
        <f>'5b. Spending- 2023 Report'!D114</f>
        <v>0</v>
      </c>
      <c r="F113" s="403">
        <f>'5c. Spending- 2024 Report'!D113</f>
        <v>0</v>
      </c>
      <c r="G113" s="409">
        <f>'5d. Spending - 2025 Report'!D113</f>
        <v>0</v>
      </c>
      <c r="H113" s="392">
        <f t="shared" si="18"/>
        <v>0</v>
      </c>
    </row>
    <row r="114" spans="2:8" x14ac:dyDescent="0.3">
      <c r="B114" s="389"/>
      <c r="C114" s="401" t="s">
        <v>261</v>
      </c>
      <c r="D114" s="390">
        <f>'5a. Spending- 2022 Report '!D114</f>
        <v>0</v>
      </c>
      <c r="E114" s="391">
        <f>'5b. Spending- 2023 Report'!D115</f>
        <v>0</v>
      </c>
      <c r="F114" s="403">
        <f>'5c. Spending- 2024 Report'!D114</f>
        <v>0</v>
      </c>
      <c r="G114" s="409">
        <f>'5d. Spending - 2025 Report'!D114</f>
        <v>0</v>
      </c>
      <c r="H114" s="392">
        <f t="shared" si="18"/>
        <v>0</v>
      </c>
    </row>
    <row r="115" spans="2:8" ht="15" thickBot="1" x14ac:dyDescent="0.35">
      <c r="B115" s="393"/>
      <c r="C115" s="402" t="s">
        <v>257</v>
      </c>
      <c r="D115" s="395">
        <f>'5a. Spending- 2022 Report '!D115</f>
        <v>0</v>
      </c>
      <c r="E115" s="396">
        <f>'5b. Spending- 2023 Report'!D116</f>
        <v>0</v>
      </c>
      <c r="F115" s="405">
        <f>'5c. Spending- 2024 Report'!D115</f>
        <v>0</v>
      </c>
      <c r="G115" s="406">
        <f>'5d. Spending - 2025 Report'!D115</f>
        <v>0</v>
      </c>
      <c r="H115" s="397">
        <f t="shared" si="18"/>
        <v>0</v>
      </c>
    </row>
    <row r="116" spans="2:8" x14ac:dyDescent="0.3">
      <c r="B116" s="389" t="s">
        <v>10</v>
      </c>
      <c r="C116" s="401" t="s">
        <v>260</v>
      </c>
      <c r="D116" s="390">
        <f>'5a. Spending- 2022 Report '!D116</f>
        <v>0</v>
      </c>
      <c r="E116" s="391">
        <f>'5b. Spending- 2023 Report'!D117</f>
        <v>25874</v>
      </c>
      <c r="F116" s="403">
        <f>'5c. Spending- 2024 Report'!D116</f>
        <v>0</v>
      </c>
      <c r="G116" s="409">
        <f>'5d. Spending - 2025 Report'!D116</f>
        <v>0</v>
      </c>
      <c r="H116" s="392">
        <f t="shared" si="18"/>
        <v>25874</v>
      </c>
    </row>
    <row r="117" spans="2:8" x14ac:dyDescent="0.3">
      <c r="B117" s="389"/>
      <c r="C117" s="401" t="s">
        <v>261</v>
      </c>
      <c r="D117" s="390">
        <f>'5a. Spending- 2022 Report '!D117</f>
        <v>26328</v>
      </c>
      <c r="E117" s="391">
        <f>'5b. Spending- 2023 Report'!D108</f>
        <v>18080</v>
      </c>
      <c r="F117" s="403">
        <f>'5c. Spending- 2024 Report'!D117</f>
        <v>0</v>
      </c>
      <c r="G117" s="409">
        <f>'5d. Spending - 2025 Report'!D117</f>
        <v>0</v>
      </c>
      <c r="H117" s="392">
        <f t="shared" si="18"/>
        <v>44408</v>
      </c>
    </row>
    <row r="118" spans="2:8" ht="15" thickBot="1" x14ac:dyDescent="0.35">
      <c r="B118" s="393"/>
      <c r="C118" s="402" t="s">
        <v>257</v>
      </c>
      <c r="D118" s="395">
        <f>'5a. Spending- 2022 Report '!D118</f>
        <v>26328</v>
      </c>
      <c r="E118" s="396">
        <f>'5b. Spending- 2023 Report'!D118</f>
        <v>25874</v>
      </c>
      <c r="F118" s="405">
        <f>'5c. Spending- 2024 Report'!D118</f>
        <v>0</v>
      </c>
      <c r="G118" s="406">
        <f>'5d. Spending - 2025 Report'!D118</f>
        <v>0</v>
      </c>
      <c r="H118" s="397">
        <f t="shared" si="18"/>
        <v>52202</v>
      </c>
    </row>
    <row r="119" spans="2:8" x14ac:dyDescent="0.3">
      <c r="B119" s="389" t="s">
        <v>336</v>
      </c>
      <c r="C119" s="401" t="s">
        <v>260</v>
      </c>
      <c r="D119" s="390">
        <f>'5a. Spending- 2022 Report '!D119</f>
        <v>0</v>
      </c>
      <c r="E119" s="391">
        <f>'5b. Spending- 2023 Report'!D119</f>
        <v>0</v>
      </c>
      <c r="F119" s="403">
        <f>'5c. Spending- 2024 Report'!D119</f>
        <v>0</v>
      </c>
      <c r="G119" s="409">
        <f>'5d. Spending - 2025 Report'!D119</f>
        <v>0</v>
      </c>
      <c r="H119" s="392">
        <f t="shared" si="18"/>
        <v>0</v>
      </c>
    </row>
    <row r="120" spans="2:8" x14ac:dyDescent="0.3">
      <c r="B120" s="389"/>
      <c r="C120" s="401" t="s">
        <v>261</v>
      </c>
      <c r="D120" s="390">
        <f>'5a. Spending- 2022 Report '!D120</f>
        <v>0</v>
      </c>
      <c r="E120" s="391">
        <f>'5b. Spending- 2023 Report'!D120</f>
        <v>0</v>
      </c>
      <c r="F120" s="403">
        <f>'5c. Spending- 2024 Report'!D120</f>
        <v>0</v>
      </c>
      <c r="G120" s="409">
        <f>'5d. Spending - 2025 Report'!D120</f>
        <v>0</v>
      </c>
      <c r="H120" s="392">
        <f t="shared" si="18"/>
        <v>0</v>
      </c>
    </row>
    <row r="121" spans="2:8" ht="15" thickBot="1" x14ac:dyDescent="0.35">
      <c r="B121" s="393"/>
      <c r="C121" s="402" t="s">
        <v>257</v>
      </c>
      <c r="D121" s="395">
        <f>'5a. Spending- 2022 Report '!D121</f>
        <v>0</v>
      </c>
      <c r="E121" s="396">
        <f>'5b. Spending- 2023 Report'!D121</f>
        <v>0</v>
      </c>
      <c r="F121" s="405">
        <f>'5c. Spending- 2024 Report'!D121</f>
        <v>0</v>
      </c>
      <c r="G121" s="406">
        <f>'5d. Spending - 2025 Report'!D121</f>
        <v>0</v>
      </c>
      <c r="H121" s="397">
        <f t="shared" si="18"/>
        <v>0</v>
      </c>
    </row>
    <row r="122" spans="2:8" x14ac:dyDescent="0.3">
      <c r="B122" s="389" t="s">
        <v>349</v>
      </c>
      <c r="C122" s="401" t="s">
        <v>260</v>
      </c>
      <c r="D122" s="390">
        <f>'5a. Spending- 2022 Report '!D122</f>
        <v>0</v>
      </c>
      <c r="E122" s="391">
        <f>'5b. Spending- 2023 Report'!D122</f>
        <v>0</v>
      </c>
      <c r="F122" s="403">
        <f>'5c. Spending- 2024 Report'!D122</f>
        <v>0</v>
      </c>
      <c r="G122" s="409">
        <f>'5d. Spending - 2025 Report'!D122</f>
        <v>0</v>
      </c>
      <c r="H122" s="392">
        <f t="shared" si="18"/>
        <v>0</v>
      </c>
    </row>
    <row r="123" spans="2:8" x14ac:dyDescent="0.3">
      <c r="B123" s="389"/>
      <c r="C123" s="401" t="s">
        <v>261</v>
      </c>
      <c r="D123" s="390">
        <f>'5a. Spending- 2022 Report '!D123</f>
        <v>0</v>
      </c>
      <c r="E123" s="391">
        <f>'5b. Spending- 2023 Report'!D123</f>
        <v>0</v>
      </c>
      <c r="F123" s="403">
        <f>'5c. Spending- 2024 Report'!D123</f>
        <v>0</v>
      </c>
      <c r="G123" s="409">
        <f>'5d. Spending - 2025 Report'!D123</f>
        <v>0</v>
      </c>
      <c r="H123" s="392">
        <f t="shared" si="18"/>
        <v>0</v>
      </c>
    </row>
    <row r="124" spans="2:8" ht="15" thickBot="1" x14ac:dyDescent="0.35">
      <c r="B124" s="393"/>
      <c r="C124" s="402" t="s">
        <v>257</v>
      </c>
      <c r="D124" s="410">
        <f>'5a. Spending- 2022 Report '!D124</f>
        <v>0</v>
      </c>
      <c r="E124" s="411">
        <f>'5b. Spending- 2023 Report'!D124</f>
        <v>0</v>
      </c>
      <c r="F124" s="412">
        <f>'5c. Spending- 2024 Report'!D124</f>
        <v>0</v>
      </c>
      <c r="G124" s="413">
        <f>'5d. Spending - 2025 Report'!D124</f>
        <v>0</v>
      </c>
      <c r="H124" s="424">
        <f t="shared" si="18"/>
        <v>0</v>
      </c>
    </row>
    <row r="125" spans="2:8" x14ac:dyDescent="0.3">
      <c r="B125" s="389" t="s">
        <v>341</v>
      </c>
      <c r="C125" s="401" t="s">
        <v>260</v>
      </c>
      <c r="D125" s="390">
        <f>'5a. Spending- 2022 Report '!D125</f>
        <v>0</v>
      </c>
      <c r="E125" s="391">
        <f>'5b. Spending- 2023 Report'!D125</f>
        <v>0</v>
      </c>
      <c r="F125" s="403">
        <f>'5c. Spending- 2024 Report'!D125</f>
        <v>0</v>
      </c>
      <c r="G125" s="409">
        <f>'5d. Spending - 2025 Report'!D125</f>
        <v>0</v>
      </c>
      <c r="H125" s="392">
        <f t="shared" si="18"/>
        <v>0</v>
      </c>
    </row>
    <row r="126" spans="2:8" x14ac:dyDescent="0.3">
      <c r="B126" s="389"/>
      <c r="C126" s="401" t="s">
        <v>261</v>
      </c>
      <c r="D126" s="390">
        <f>'5a. Spending- 2022 Report '!D126</f>
        <v>0</v>
      </c>
      <c r="E126" s="391">
        <f>'5b. Spending- 2023 Report'!D126</f>
        <v>0</v>
      </c>
      <c r="F126" s="403">
        <f>'5c. Spending- 2024 Report'!D126</f>
        <v>0</v>
      </c>
      <c r="G126" s="409">
        <f>'5d. Spending - 2025 Report'!D126</f>
        <v>0</v>
      </c>
      <c r="H126" s="392">
        <f t="shared" si="18"/>
        <v>0</v>
      </c>
    </row>
    <row r="127" spans="2:8" ht="15" thickBot="1" x14ac:dyDescent="0.35">
      <c r="B127" s="393"/>
      <c r="C127" s="402" t="s">
        <v>257</v>
      </c>
      <c r="D127" s="410">
        <f>'5a. Spending- 2022 Report '!D127</f>
        <v>0</v>
      </c>
      <c r="E127" s="411">
        <f>'5b. Spending- 2023 Report'!D127</f>
        <v>0</v>
      </c>
      <c r="F127" s="412">
        <f>'5c. Spending- 2024 Report'!D127</f>
        <v>0</v>
      </c>
      <c r="G127" s="413">
        <f>'5d. Spending - 2025 Report'!D127</f>
        <v>0</v>
      </c>
      <c r="H127" s="424">
        <f t="shared" si="18"/>
        <v>0</v>
      </c>
    </row>
    <row r="128" spans="2:8" x14ac:dyDescent="0.3">
      <c r="B128" s="389" t="s">
        <v>337</v>
      </c>
      <c r="C128" s="401" t="s">
        <v>260</v>
      </c>
      <c r="D128" s="390">
        <f>'5a. Spending- 2022 Report '!D128</f>
        <v>0</v>
      </c>
      <c r="E128" s="391">
        <f>'5b. Spending- 2023 Report'!D128</f>
        <v>0</v>
      </c>
      <c r="F128" s="403">
        <f>'5c. Spending- 2024 Report'!D128</f>
        <v>0</v>
      </c>
      <c r="G128" s="409">
        <f>'5d. Spending - 2025 Report'!D128</f>
        <v>0</v>
      </c>
      <c r="H128" s="392">
        <f t="shared" si="18"/>
        <v>0</v>
      </c>
    </row>
    <row r="129" spans="2:8" x14ac:dyDescent="0.3">
      <c r="B129" s="389"/>
      <c r="C129" s="401" t="s">
        <v>261</v>
      </c>
      <c r="D129" s="390">
        <f>'5a. Spending- 2022 Report '!D129</f>
        <v>0</v>
      </c>
      <c r="E129" s="391">
        <f>'5b. Spending- 2023 Report'!D129</f>
        <v>0</v>
      </c>
      <c r="F129" s="403">
        <f>'5c. Spending- 2024 Report'!D129</f>
        <v>0</v>
      </c>
      <c r="G129" s="409">
        <f>'5d. Spending - 2025 Report'!D129</f>
        <v>0</v>
      </c>
      <c r="H129" s="392">
        <f t="shared" si="18"/>
        <v>0</v>
      </c>
    </row>
    <row r="130" spans="2:8" ht="15" thickBot="1" x14ac:dyDescent="0.35">
      <c r="B130" s="393"/>
      <c r="C130" s="402" t="s">
        <v>257</v>
      </c>
      <c r="D130" s="410">
        <f>'5a. Spending- 2022 Report '!D130</f>
        <v>0</v>
      </c>
      <c r="E130" s="411">
        <f>'5b. Spending- 2023 Report'!D130</f>
        <v>0</v>
      </c>
      <c r="F130" s="412">
        <f>'5c. Spending- 2024 Report'!D130</f>
        <v>0</v>
      </c>
      <c r="G130" s="413">
        <f>'5d. Spending - 2025 Report'!D130</f>
        <v>0</v>
      </c>
      <c r="H130" s="424">
        <f t="shared" si="18"/>
        <v>0</v>
      </c>
    </row>
    <row r="131" spans="2:8" x14ac:dyDescent="0.3">
      <c r="B131" s="389" t="s">
        <v>11</v>
      </c>
      <c r="C131" s="401" t="s">
        <v>260</v>
      </c>
      <c r="D131" s="390">
        <f>'5a. Spending- 2022 Report '!D131</f>
        <v>0</v>
      </c>
      <c r="E131" s="391">
        <f>'5b. Spending- 2023 Report'!D131</f>
        <v>0</v>
      </c>
      <c r="F131" s="403">
        <f>'5c. Spending- 2024 Report'!D131</f>
        <v>0</v>
      </c>
      <c r="G131" s="409">
        <f>'5d. Spending - 2025 Report'!D131</f>
        <v>0</v>
      </c>
      <c r="H131" s="392">
        <f t="shared" si="18"/>
        <v>0</v>
      </c>
    </row>
    <row r="132" spans="2:8" x14ac:dyDescent="0.3">
      <c r="B132" s="389"/>
      <c r="C132" s="401" t="s">
        <v>261</v>
      </c>
      <c r="D132" s="390">
        <f>'5a. Spending- 2022 Report '!D132</f>
        <v>0</v>
      </c>
      <c r="E132" s="391">
        <f>'5b. Spending- 2023 Report'!D132</f>
        <v>0</v>
      </c>
      <c r="F132" s="403">
        <f>'5c. Spending- 2024 Report'!D132</f>
        <v>0</v>
      </c>
      <c r="G132" s="409">
        <f>'5d. Spending - 2025 Report'!D132</f>
        <v>0</v>
      </c>
      <c r="H132" s="392">
        <f t="shared" si="18"/>
        <v>0</v>
      </c>
    </row>
    <row r="133" spans="2:8" ht="15" thickBot="1" x14ac:dyDescent="0.35">
      <c r="B133" s="393"/>
      <c r="C133" s="402" t="s">
        <v>257</v>
      </c>
      <c r="D133" s="410">
        <f>'5a. Spending- 2022 Report '!D133</f>
        <v>0</v>
      </c>
      <c r="E133" s="411">
        <f>'5b. Spending- 2023 Report'!D133</f>
        <v>0</v>
      </c>
      <c r="F133" s="412">
        <f>'5c. Spending- 2024 Report'!D133</f>
        <v>0</v>
      </c>
      <c r="G133" s="413">
        <f>'5d. Spending - 2025 Report'!D133</f>
        <v>0</v>
      </c>
      <c r="H133" s="424">
        <f t="shared" si="18"/>
        <v>0</v>
      </c>
    </row>
    <row r="134" spans="2:8" x14ac:dyDescent="0.3">
      <c r="B134" s="389" t="s">
        <v>350</v>
      </c>
      <c r="C134" s="401" t="s">
        <v>260</v>
      </c>
      <c r="D134" s="390">
        <f>'5a. Spending- 2022 Report '!D134</f>
        <v>0</v>
      </c>
      <c r="E134" s="391">
        <f>'5b. Spending- 2023 Report'!D134</f>
        <v>0</v>
      </c>
      <c r="F134" s="403">
        <f>'5c. Spending- 2024 Report'!D134</f>
        <v>0</v>
      </c>
      <c r="G134" s="409">
        <f>'5d. Spending - 2025 Report'!D134</f>
        <v>0</v>
      </c>
      <c r="H134" s="392">
        <f t="shared" si="18"/>
        <v>0</v>
      </c>
    </row>
    <row r="135" spans="2:8" x14ac:dyDescent="0.3">
      <c r="B135" s="389"/>
      <c r="C135" s="401" t="s">
        <v>261</v>
      </c>
      <c r="D135" s="390">
        <f>'5a. Spending- 2022 Report '!D135</f>
        <v>10193</v>
      </c>
      <c r="E135" s="391">
        <f>'5b. Spending- 2023 Report'!D135</f>
        <v>0</v>
      </c>
      <c r="F135" s="403">
        <f>'5c. Spending- 2024 Report'!D135</f>
        <v>0</v>
      </c>
      <c r="G135" s="409">
        <f>'5d. Spending - 2025 Report'!D135</f>
        <v>0</v>
      </c>
      <c r="H135" s="392">
        <f t="shared" si="18"/>
        <v>10193</v>
      </c>
    </row>
    <row r="136" spans="2:8" ht="15" thickBot="1" x14ac:dyDescent="0.35">
      <c r="B136" s="393"/>
      <c r="C136" s="402" t="s">
        <v>257</v>
      </c>
      <c r="D136" s="410">
        <f>'5a. Spending- 2022 Report '!D136</f>
        <v>10193</v>
      </c>
      <c r="E136" s="411">
        <f>'5b. Spending- 2023 Report'!D136</f>
        <v>0</v>
      </c>
      <c r="F136" s="412">
        <f>'5c. Spending- 2024 Report'!D136</f>
        <v>0</v>
      </c>
      <c r="G136" s="413">
        <f>'5d. Spending - 2025 Report'!D136</f>
        <v>0</v>
      </c>
      <c r="H136" s="424">
        <f t="shared" si="18"/>
        <v>10193</v>
      </c>
    </row>
    <row r="137" spans="2:8" x14ac:dyDescent="0.3">
      <c r="B137" s="389" t="s">
        <v>351</v>
      </c>
      <c r="C137" s="401" t="s">
        <v>260</v>
      </c>
      <c r="D137" s="390">
        <f>'5a. Spending- 2022 Report '!D137</f>
        <v>0</v>
      </c>
      <c r="E137" s="391">
        <f>'5b. Spending- 2023 Report'!D137</f>
        <v>0</v>
      </c>
      <c r="F137" s="403">
        <f>'5c. Spending- 2024 Report'!D137</f>
        <v>0</v>
      </c>
      <c r="G137" s="409">
        <f>'5d. Spending - 2025 Report'!D137</f>
        <v>0</v>
      </c>
      <c r="H137" s="392">
        <f t="shared" si="18"/>
        <v>0</v>
      </c>
    </row>
    <row r="138" spans="2:8" x14ac:dyDescent="0.3">
      <c r="B138" s="389"/>
      <c r="C138" s="401" t="s">
        <v>261</v>
      </c>
      <c r="D138" s="390">
        <f>'5a. Spending- 2022 Report '!D138</f>
        <v>0</v>
      </c>
      <c r="E138" s="391">
        <f>'5b. Spending- 2023 Report'!D138</f>
        <v>0</v>
      </c>
      <c r="F138" s="403">
        <f>'5c. Spending- 2024 Report'!D138</f>
        <v>0</v>
      </c>
      <c r="G138" s="409">
        <f>'5d. Spending - 2025 Report'!D138</f>
        <v>0</v>
      </c>
      <c r="H138" s="392">
        <f t="shared" si="18"/>
        <v>0</v>
      </c>
    </row>
    <row r="139" spans="2:8" ht="15" thickBot="1" x14ac:dyDescent="0.35">
      <c r="B139" s="393"/>
      <c r="C139" s="402" t="s">
        <v>257</v>
      </c>
      <c r="D139" s="410">
        <f>'5a. Spending- 2022 Report '!D139</f>
        <v>0</v>
      </c>
      <c r="E139" s="411">
        <f>'5b. Spending- 2023 Report'!D139</f>
        <v>0</v>
      </c>
      <c r="F139" s="412">
        <f>'5c. Spending- 2024 Report'!D139</f>
        <v>0</v>
      </c>
      <c r="G139" s="413">
        <f>'5d. Spending - 2025 Report'!D139</f>
        <v>0</v>
      </c>
      <c r="H139" s="424">
        <f t="shared" si="18"/>
        <v>0</v>
      </c>
    </row>
    <row r="140" spans="2:8" x14ac:dyDescent="0.3">
      <c r="B140" s="389" t="s">
        <v>352</v>
      </c>
      <c r="C140" s="401" t="s">
        <v>260</v>
      </c>
      <c r="D140" s="390">
        <f>'5a. Spending- 2022 Report '!D140</f>
        <v>0</v>
      </c>
      <c r="E140" s="391">
        <f>'5b. Spending- 2023 Report'!D140</f>
        <v>0</v>
      </c>
      <c r="F140" s="403">
        <f>'5c. Spending- 2024 Report'!D140</f>
        <v>0</v>
      </c>
      <c r="G140" s="409">
        <f>'5d. Spending - 2025 Report'!D140</f>
        <v>0</v>
      </c>
      <c r="H140" s="392">
        <f t="shared" si="18"/>
        <v>0</v>
      </c>
    </row>
    <row r="141" spans="2:8" x14ac:dyDescent="0.3">
      <c r="B141" s="389"/>
      <c r="C141" s="401" t="s">
        <v>261</v>
      </c>
      <c r="D141" s="390">
        <f>'5a. Spending- 2022 Report '!D141</f>
        <v>16151</v>
      </c>
      <c r="E141" s="391">
        <f>'5b. Spending- 2023 Report'!D141</f>
        <v>16151</v>
      </c>
      <c r="F141" s="403">
        <f>'5c. Spending- 2024 Report'!D141</f>
        <v>0</v>
      </c>
      <c r="G141" s="409">
        <f>'5d. Spending - 2025 Report'!D141</f>
        <v>0</v>
      </c>
      <c r="H141" s="392">
        <f t="shared" si="18"/>
        <v>32302</v>
      </c>
    </row>
    <row r="142" spans="2:8" ht="15" thickBot="1" x14ac:dyDescent="0.35">
      <c r="B142" s="393"/>
      <c r="C142" s="402" t="s">
        <v>257</v>
      </c>
      <c r="D142" s="410">
        <f>'5a. Spending- 2022 Report '!D142</f>
        <v>16151</v>
      </c>
      <c r="E142" s="411">
        <f>'5b. Spending- 2023 Report'!D142</f>
        <v>16151</v>
      </c>
      <c r="F142" s="412">
        <f>'5c. Spending- 2024 Report'!D142</f>
        <v>0</v>
      </c>
      <c r="G142" s="413">
        <f>'5d. Spending - 2025 Report'!D142</f>
        <v>0</v>
      </c>
      <c r="H142" s="424">
        <f t="shared" si="18"/>
        <v>32302</v>
      </c>
    </row>
    <row r="143" spans="2:8" x14ac:dyDescent="0.3">
      <c r="B143" s="389" t="s">
        <v>353</v>
      </c>
      <c r="C143" s="401" t="s">
        <v>260</v>
      </c>
      <c r="D143" s="390">
        <f>'5a. Spending- 2022 Report '!D143</f>
        <v>0</v>
      </c>
      <c r="E143" s="391">
        <f>'5b. Spending- 2023 Report'!D143</f>
        <v>0</v>
      </c>
      <c r="F143" s="403">
        <f>'5c. Spending- 2024 Report'!D143</f>
        <v>0</v>
      </c>
      <c r="G143" s="409">
        <f>'5d. Spending - 2025 Report'!D143</f>
        <v>0</v>
      </c>
      <c r="H143" s="392">
        <f t="shared" si="18"/>
        <v>0</v>
      </c>
    </row>
    <row r="144" spans="2:8" x14ac:dyDescent="0.3">
      <c r="B144" s="389"/>
      <c r="C144" s="401" t="s">
        <v>261</v>
      </c>
      <c r="D144" s="390">
        <f>'5a. Spending- 2022 Report '!D144</f>
        <v>0</v>
      </c>
      <c r="E144" s="391">
        <f>'5b. Spending- 2023 Report'!D144</f>
        <v>0</v>
      </c>
      <c r="F144" s="403">
        <f>'5c. Spending- 2024 Report'!D144</f>
        <v>0</v>
      </c>
      <c r="G144" s="409">
        <f>'5d. Spending - 2025 Report'!D144</f>
        <v>0</v>
      </c>
      <c r="H144" s="392">
        <f t="shared" si="18"/>
        <v>0</v>
      </c>
    </row>
    <row r="145" spans="2:9" ht="15" thickBot="1" x14ac:dyDescent="0.35">
      <c r="B145" s="393"/>
      <c r="C145" s="402" t="s">
        <v>257</v>
      </c>
      <c r="D145" s="410">
        <f>'5a. Spending- 2022 Report '!D145</f>
        <v>0</v>
      </c>
      <c r="E145" s="411">
        <f>'5b. Spending- 2023 Report'!D145</f>
        <v>0</v>
      </c>
      <c r="F145" s="412">
        <f>'5c. Spending- 2024 Report'!D145</f>
        <v>0</v>
      </c>
      <c r="G145" s="413">
        <f>'5d. Spending - 2025 Report'!D145</f>
        <v>0</v>
      </c>
      <c r="H145" s="424">
        <f t="shared" si="18"/>
        <v>0</v>
      </c>
    </row>
    <row r="146" spans="2:9" x14ac:dyDescent="0.3">
      <c r="B146" s="446" t="s">
        <v>258</v>
      </c>
      <c r="C146" s="389" t="s">
        <v>255</v>
      </c>
      <c r="D146" s="390">
        <f>'5a. Spending- 2022 Report '!D146</f>
        <v>0</v>
      </c>
      <c r="E146" s="390">
        <f>'5b. Spending- 2023 Report'!D146</f>
        <v>0</v>
      </c>
      <c r="F146" s="390">
        <f>'5c. Spending- 2024 Report'!D146</f>
        <v>0</v>
      </c>
      <c r="G146" s="390">
        <f>'5d. Spending - 2025 Report'!D146</f>
        <v>0</v>
      </c>
      <c r="H146" s="423">
        <f t="shared" si="18"/>
        <v>0</v>
      </c>
    </row>
    <row r="147" spans="2:9" x14ac:dyDescent="0.3">
      <c r="B147" s="389"/>
      <c r="C147" s="389" t="s">
        <v>256</v>
      </c>
      <c r="D147" s="390">
        <f>'5a. Spending- 2022 Report '!D147</f>
        <v>120722</v>
      </c>
      <c r="E147" s="390">
        <f>'5b. Spending- 2023 Report'!D147</f>
        <v>166237.60999999999</v>
      </c>
      <c r="F147" s="390">
        <f>'5c. Spending- 2024 Report'!D147</f>
        <v>0</v>
      </c>
      <c r="G147" s="390">
        <f>'5d. Spending - 2025 Report'!D147</f>
        <v>0</v>
      </c>
      <c r="H147" s="417">
        <f t="shared" si="18"/>
        <v>286959.61</v>
      </c>
    </row>
    <row r="148" spans="2:9" ht="15" thickBot="1" x14ac:dyDescent="0.35">
      <c r="B148" s="393"/>
      <c r="C148" s="394" t="s">
        <v>257</v>
      </c>
      <c r="D148" s="395">
        <f>'5a. Spending- 2022 Report '!D148</f>
        <v>120722</v>
      </c>
      <c r="E148" s="416">
        <f>'5b. Spending- 2023 Report'!D148</f>
        <v>166237.60999999999</v>
      </c>
      <c r="F148" s="416">
        <f>'5c. Spending- 2024 Report'!D148</f>
        <v>0</v>
      </c>
      <c r="G148" s="416">
        <f>'5d. Spending - 2025 Report'!D148</f>
        <v>0</v>
      </c>
      <c r="H148" s="414">
        <f t="shared" si="18"/>
        <v>286959.61</v>
      </c>
    </row>
    <row r="150" spans="2:9" ht="15" thickBot="1" x14ac:dyDescent="0.35"/>
    <row r="151" spans="2:9" ht="15" thickBot="1" x14ac:dyDescent="0.35">
      <c r="D151" s="980" t="s">
        <v>262</v>
      </c>
      <c r="E151" s="981"/>
      <c r="F151" s="981"/>
      <c r="G151" s="982"/>
    </row>
    <row r="152" spans="2:9" ht="15" thickBot="1" x14ac:dyDescent="0.35">
      <c r="D152" s="383">
        <v>2022</v>
      </c>
      <c r="E152" s="384">
        <v>2023</v>
      </c>
      <c r="F152" s="425">
        <v>2024</v>
      </c>
      <c r="G152" s="385">
        <v>2025</v>
      </c>
      <c r="H152" s="385" t="s">
        <v>253</v>
      </c>
    </row>
    <row r="153" spans="2:9" ht="15" thickBot="1" x14ac:dyDescent="0.35">
      <c r="C153" s="447" t="s">
        <v>223</v>
      </c>
      <c r="D153" s="386" t="s">
        <v>232</v>
      </c>
      <c r="E153" s="387" t="s">
        <v>232</v>
      </c>
      <c r="F153" s="426" t="s">
        <v>232</v>
      </c>
      <c r="G153" s="388" t="s">
        <v>232</v>
      </c>
      <c r="H153" s="421" t="s">
        <v>232</v>
      </c>
    </row>
    <row r="154" spans="2:9" x14ac:dyDescent="0.3">
      <c r="C154" s="389" t="s">
        <v>343</v>
      </c>
      <c r="D154" s="429">
        <f>'5a. Spending- 2022 Report '!D154</f>
        <v>101336.68</v>
      </c>
      <c r="E154" s="432">
        <f>'5b. Spending- 2023 Report'!D154</f>
        <v>208869.88</v>
      </c>
      <c r="F154" s="415">
        <f>'5b. Spending- 2023 Report'!E154</f>
        <v>0</v>
      </c>
      <c r="G154" s="403">
        <f>'5b. Spending- 2023 Report'!F154</f>
        <v>0</v>
      </c>
      <c r="H154" s="427">
        <f>'5b. Spending- 2023 Report'!G154</f>
        <v>0</v>
      </c>
    </row>
    <row r="155" spans="2:9" x14ac:dyDescent="0.3">
      <c r="C155" s="389" t="s">
        <v>7</v>
      </c>
      <c r="D155" s="430">
        <f>'5a. Spending- 2022 Report '!D155</f>
        <v>0</v>
      </c>
      <c r="E155" s="433">
        <f>'5b. Spending- 2023 Report'!D155</f>
        <v>0</v>
      </c>
      <c r="F155" s="391">
        <f>'5b. Spending- 2023 Report'!E155</f>
        <v>0</v>
      </c>
      <c r="G155" s="403">
        <f>'5b. Spending- 2023 Report'!F155</f>
        <v>0</v>
      </c>
      <c r="H155" s="428">
        <f>'5b. Spending- 2023 Report'!G155</f>
        <v>0</v>
      </c>
    </row>
    <row r="156" spans="2:9" x14ac:dyDescent="0.3">
      <c r="C156" s="389" t="s">
        <v>8</v>
      </c>
      <c r="D156" s="430">
        <f>'5a. Spending- 2022 Report '!D156</f>
        <v>257177</v>
      </c>
      <c r="E156" s="433">
        <f>'5b. Spending- 2023 Report'!D156</f>
        <v>517370.17</v>
      </c>
      <c r="F156" s="391">
        <f>'5b. Spending- 2023 Report'!E156</f>
        <v>0</v>
      </c>
      <c r="G156" s="403">
        <f>'5b. Spending- 2023 Report'!F156</f>
        <v>0</v>
      </c>
      <c r="H156" s="428">
        <f>'5b. Spending- 2023 Report'!G156</f>
        <v>0</v>
      </c>
    </row>
    <row r="157" spans="2:9" ht="28.8" x14ac:dyDescent="0.3">
      <c r="C157" s="448" t="s">
        <v>9</v>
      </c>
      <c r="D157" s="430">
        <f>'5a. Spending- 2022 Report '!D157</f>
        <v>119488.95</v>
      </c>
      <c r="E157" s="433">
        <f>'5b. Spending- 2023 Report'!D157</f>
        <v>209567.74</v>
      </c>
      <c r="F157" s="391">
        <f>'5b. Spending- 2023 Report'!E157</f>
        <v>0</v>
      </c>
      <c r="G157" s="403">
        <f>'5b. Spending- 2023 Report'!F157</f>
        <v>0</v>
      </c>
      <c r="H157" s="428">
        <f>'5b. Spending- 2023 Report'!G157</f>
        <v>0</v>
      </c>
    </row>
    <row r="158" spans="2:9" x14ac:dyDescent="0.3">
      <c r="C158" s="389" t="s">
        <v>335</v>
      </c>
      <c r="D158" s="430">
        <f>'5a. Spending- 2022 Report '!D158</f>
        <v>0</v>
      </c>
      <c r="E158" s="433">
        <f>'5b. Spending- 2023 Report'!D158</f>
        <v>0</v>
      </c>
      <c r="F158" s="391">
        <f>'5b. Spending- 2023 Report'!E158</f>
        <v>0</v>
      </c>
      <c r="G158" s="403">
        <f>'5b. Spending- 2023 Report'!F158</f>
        <v>0</v>
      </c>
      <c r="H158" s="428">
        <f>'5b. Spending- 2023 Report'!G158</f>
        <v>0</v>
      </c>
    </row>
    <row r="159" spans="2:9" x14ac:dyDescent="0.3">
      <c r="C159" s="389" t="s">
        <v>10</v>
      </c>
      <c r="D159" s="430">
        <f>'5a. Spending- 2022 Report '!D159</f>
        <v>102598</v>
      </c>
      <c r="E159" s="430">
        <f>'5b. Spending- 2023 Report'!D159</f>
        <v>25874</v>
      </c>
      <c r="F159" s="430">
        <f>'5b. Spending- 2023 Report'!E159</f>
        <v>0</v>
      </c>
      <c r="G159" s="430">
        <f>'5b. Spending- 2023 Report'!F159</f>
        <v>0</v>
      </c>
      <c r="H159" s="428">
        <f>'5b. Spending- 2023 Report'!G159</f>
        <v>0</v>
      </c>
    </row>
    <row r="160" spans="2:9" x14ac:dyDescent="0.3">
      <c r="C160" s="389" t="s">
        <v>336</v>
      </c>
      <c r="D160" s="430">
        <f>'5a. Spending- 2022 Report '!D160</f>
        <v>0</v>
      </c>
      <c r="E160" s="430">
        <f>'5b. Spending- 2023 Report'!D160</f>
        <v>0</v>
      </c>
      <c r="F160" s="430">
        <f>'5b. Spending- 2023 Report'!E160</f>
        <v>0</v>
      </c>
      <c r="G160" s="430">
        <f>'5b. Spending- 2023 Report'!F160</f>
        <v>0</v>
      </c>
      <c r="H160" s="428">
        <f>'5b. Spending- 2023 Report'!G160</f>
        <v>0</v>
      </c>
      <c r="I160" s="422"/>
    </row>
    <row r="161" spans="3:8" x14ac:dyDescent="0.3">
      <c r="C161" s="389" t="s">
        <v>349</v>
      </c>
      <c r="D161" s="430">
        <f>'5a. Spending- 2022 Report '!D161</f>
        <v>0</v>
      </c>
      <c r="E161" s="430">
        <f>'5b. Spending- 2023 Report'!D161</f>
        <v>0</v>
      </c>
      <c r="F161" s="430">
        <f>'5b. Spending- 2023 Report'!E161</f>
        <v>0</v>
      </c>
      <c r="G161" s="430">
        <f>'5b. Spending- 2023 Report'!F161</f>
        <v>0</v>
      </c>
      <c r="H161" s="428">
        <f>'5b. Spending- 2023 Report'!G161</f>
        <v>0</v>
      </c>
    </row>
    <row r="162" spans="3:8" x14ac:dyDescent="0.3">
      <c r="C162" s="389" t="s">
        <v>341</v>
      </c>
      <c r="D162" s="430">
        <f>'5a. Spending- 2022 Report '!D162</f>
        <v>0</v>
      </c>
      <c r="E162" s="430">
        <f>'5b. Spending- 2023 Report'!D162</f>
        <v>0</v>
      </c>
      <c r="F162" s="430">
        <f>'5b. Spending- 2023 Report'!E162</f>
        <v>0</v>
      </c>
      <c r="G162" s="430">
        <f>'5b. Spending- 2023 Report'!F162</f>
        <v>0</v>
      </c>
      <c r="H162" s="428">
        <f>'5b. Spending- 2023 Report'!G162</f>
        <v>0</v>
      </c>
    </row>
    <row r="163" spans="3:8" x14ac:dyDescent="0.3">
      <c r="C163" s="389" t="s">
        <v>337</v>
      </c>
      <c r="D163" s="430">
        <f>'5a. Spending- 2022 Report '!D163</f>
        <v>3393.87</v>
      </c>
      <c r="E163" s="430">
        <f>'5b. Spending- 2023 Report'!D163</f>
        <v>91628.85</v>
      </c>
      <c r="F163" s="430">
        <f>'5b. Spending- 2023 Report'!E163</f>
        <v>0</v>
      </c>
      <c r="G163" s="430">
        <f>'5b. Spending- 2023 Report'!F163</f>
        <v>0</v>
      </c>
      <c r="H163" s="428">
        <f>'5b. Spending- 2023 Report'!G163</f>
        <v>0</v>
      </c>
    </row>
    <row r="164" spans="3:8" x14ac:dyDescent="0.3">
      <c r="C164" s="389" t="s">
        <v>11</v>
      </c>
      <c r="D164" s="430">
        <f>'5a. Spending- 2022 Report '!D164</f>
        <v>9216</v>
      </c>
      <c r="E164" s="430">
        <f>'5b. Spending- 2023 Report'!D164</f>
        <v>0</v>
      </c>
      <c r="F164" s="430">
        <f>'5b. Spending- 2023 Report'!E164</f>
        <v>0</v>
      </c>
      <c r="G164" s="430">
        <f>'5b. Spending- 2023 Report'!F164</f>
        <v>0</v>
      </c>
      <c r="H164" s="428">
        <f>'5b. Spending- 2023 Report'!G164</f>
        <v>0</v>
      </c>
    </row>
    <row r="165" spans="3:8" x14ac:dyDescent="0.3">
      <c r="C165" s="389" t="s">
        <v>350</v>
      </c>
      <c r="D165" s="430">
        <f>'5a. Spending- 2022 Report '!D165</f>
        <v>10193</v>
      </c>
      <c r="E165" s="430">
        <f>'5b. Spending- 2023 Report'!D165</f>
        <v>101096</v>
      </c>
      <c r="F165" s="430">
        <f>'5b. Spending- 2023 Report'!E165</f>
        <v>0</v>
      </c>
      <c r="G165" s="430">
        <f>'5b. Spending- 2023 Report'!F165</f>
        <v>0</v>
      </c>
      <c r="H165" s="428">
        <f>'5b. Spending- 2023 Report'!G165</f>
        <v>0</v>
      </c>
    </row>
    <row r="166" spans="3:8" x14ac:dyDescent="0.3">
      <c r="C166" s="389" t="s">
        <v>351</v>
      </c>
      <c r="D166" s="430">
        <f>'5a. Spending- 2022 Report '!D166</f>
        <v>76270</v>
      </c>
      <c r="E166" s="430">
        <f>'5b. Spending- 2023 Report'!D166</f>
        <v>0</v>
      </c>
      <c r="F166" s="430">
        <f>'5b. Spending- 2023 Report'!E166</f>
        <v>0</v>
      </c>
      <c r="G166" s="430">
        <f>'5b. Spending- 2023 Report'!F166</f>
        <v>0</v>
      </c>
      <c r="H166" s="428">
        <f>'5b. Spending- 2023 Report'!G166</f>
        <v>0</v>
      </c>
    </row>
    <row r="167" spans="3:8" x14ac:dyDescent="0.3">
      <c r="C167" s="389" t="s">
        <v>352</v>
      </c>
      <c r="D167" s="430">
        <f>'5a. Spending- 2022 Report '!D167</f>
        <v>47388.91</v>
      </c>
      <c r="E167" s="430">
        <f>'5b. Spending- 2023 Report'!D167</f>
        <v>25270.91</v>
      </c>
      <c r="F167" s="430">
        <f>'5b. Spending- 2023 Report'!E167</f>
        <v>0</v>
      </c>
      <c r="G167" s="430">
        <f>'5b. Spending- 2023 Report'!F167</f>
        <v>0</v>
      </c>
      <c r="H167" s="428">
        <f>'5b. Spending- 2023 Report'!G167</f>
        <v>0</v>
      </c>
    </row>
    <row r="168" spans="3:8" x14ac:dyDescent="0.3">
      <c r="C168" s="389" t="s">
        <v>353</v>
      </c>
      <c r="D168" s="430">
        <f>'5a. Spending- 2022 Report '!D168</f>
        <v>0</v>
      </c>
      <c r="E168" s="430">
        <f>'5b. Spending- 2023 Report'!D168</f>
        <v>0</v>
      </c>
      <c r="F168" s="430">
        <f>'5b. Spending- 2023 Report'!E168</f>
        <v>0</v>
      </c>
      <c r="G168" s="430">
        <f>'5b. Spending- 2023 Report'!F168</f>
        <v>0</v>
      </c>
      <c r="H168" s="428">
        <f>'5b. Spending- 2023 Report'!G168</f>
        <v>0</v>
      </c>
    </row>
    <row r="169" spans="3:8" ht="15" thickBot="1" x14ac:dyDescent="0.35">
      <c r="C169" s="394" t="s">
        <v>258</v>
      </c>
      <c r="D169" s="431">
        <f>'5a. Spending- 2022 Report '!D169</f>
        <v>727062.41</v>
      </c>
      <c r="E169" s="431">
        <f>'5b. Spending- 2023 Report'!D169</f>
        <v>1179677.55</v>
      </c>
      <c r="F169" s="431">
        <f>'5b. Spending- 2023 Report'!E169</f>
        <v>0</v>
      </c>
      <c r="G169" s="431">
        <f>'5b. Spending- 2023 Report'!F169</f>
        <v>0</v>
      </c>
      <c r="H169" s="431">
        <f>'5b. Spending- 2023 Report'!G169</f>
        <v>0</v>
      </c>
    </row>
  </sheetData>
  <mergeCells count="7">
    <mergeCell ref="D6:L6"/>
    <mergeCell ref="D7:F7"/>
    <mergeCell ref="D98:G98"/>
    <mergeCell ref="D151:G151"/>
    <mergeCell ref="D46:G46"/>
    <mergeCell ref="G7:I7"/>
    <mergeCell ref="J7:L7"/>
  </mergeCells>
  <printOptions gridLines="1"/>
  <pageMargins left="0.7" right="0.7" top="0.75" bottom="0.75" header="0.3" footer="0.3"/>
  <pageSetup scale="2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22"/>
  <sheetViews>
    <sheetView zoomScale="75" zoomScaleNormal="75" workbookViewId="0">
      <selection activeCell="S57" sqref="S57"/>
    </sheetView>
  </sheetViews>
  <sheetFormatPr defaultColWidth="9.109375" defaultRowHeight="14.4" x14ac:dyDescent="0.3"/>
  <cols>
    <col min="1" max="1" width="23.33203125" style="123" customWidth="1"/>
    <col min="2" max="2" width="22.33203125" style="3" bestFit="1" customWidth="1"/>
    <col min="3" max="8" width="25.6640625" style="3" customWidth="1"/>
    <col min="9" max="9" width="25.6640625" customWidth="1"/>
    <col min="10" max="10" width="17" bestFit="1" customWidth="1"/>
    <col min="11" max="11" width="21.5546875" bestFit="1" customWidth="1"/>
    <col min="12" max="12" width="15.5546875" bestFit="1" customWidth="1"/>
    <col min="13" max="13" width="11.88671875" bestFit="1" customWidth="1"/>
  </cols>
  <sheetData>
    <row r="1" spans="1:9" x14ac:dyDescent="0.3">
      <c r="A1" s="1" t="s">
        <v>263</v>
      </c>
      <c r="B1" s="1" t="s">
        <v>264</v>
      </c>
      <c r="C1" s="192"/>
      <c r="D1" s="250" t="s">
        <v>2</v>
      </c>
      <c r="E1" s="250" t="s">
        <v>69</v>
      </c>
      <c r="F1" s="124"/>
      <c r="G1" s="124"/>
      <c r="H1" s="124"/>
      <c r="I1" s="123"/>
    </row>
    <row r="2" spans="1:9" s="123" customFormat="1" x14ac:dyDescent="0.3">
      <c r="A2" s="1"/>
      <c r="B2" s="1"/>
      <c r="C2" s="192"/>
      <c r="D2" s="250" t="s">
        <v>4</v>
      </c>
      <c r="E2" s="265">
        <f>'1a. Incremental Deployment-2022'!E2</f>
        <v>2022</v>
      </c>
      <c r="G2" s="124"/>
      <c r="H2" s="124"/>
    </row>
    <row r="3" spans="1:9" x14ac:dyDescent="0.3">
      <c r="A3" s="1"/>
      <c r="B3" s="124"/>
      <c r="C3" s="2"/>
      <c r="D3" s="2"/>
      <c r="E3" s="123"/>
      <c r="F3" s="124"/>
      <c r="G3" s="124"/>
      <c r="H3" s="124"/>
      <c r="I3" s="123"/>
    </row>
    <row r="4" spans="1:9" ht="15.75" customHeight="1" x14ac:dyDescent="0.3">
      <c r="A4" s="116" t="s">
        <v>265</v>
      </c>
      <c r="B4" s="124"/>
      <c r="C4" s="124"/>
      <c r="D4" s="124"/>
      <c r="E4" s="124"/>
      <c r="F4" s="124"/>
      <c r="G4" s="124"/>
      <c r="H4" s="124"/>
      <c r="I4" s="25"/>
    </row>
    <row r="5" spans="1:9" ht="15" thickBot="1" x14ac:dyDescent="0.35">
      <c r="B5" s="124"/>
      <c r="C5" s="124"/>
      <c r="D5" s="124"/>
      <c r="E5" s="124"/>
      <c r="F5" s="124"/>
      <c r="G5" s="124"/>
      <c r="H5" s="124"/>
      <c r="I5" s="123"/>
    </row>
    <row r="6" spans="1:9" ht="31.8" thickBot="1" x14ac:dyDescent="0.35">
      <c r="A6" s="354" t="s">
        <v>2</v>
      </c>
      <c r="B6" s="53" t="s">
        <v>14</v>
      </c>
      <c r="C6" s="55" t="s">
        <v>266</v>
      </c>
      <c r="D6" s="55" t="s">
        <v>267</v>
      </c>
      <c r="E6" s="75" t="s">
        <v>15</v>
      </c>
      <c r="F6" s="54" t="s">
        <v>268</v>
      </c>
      <c r="G6" s="55" t="s">
        <v>269</v>
      </c>
      <c r="H6" s="55" t="s">
        <v>270</v>
      </c>
      <c r="I6" s="53" t="s">
        <v>271</v>
      </c>
    </row>
    <row r="7" spans="1:9" ht="30" customHeight="1" x14ac:dyDescent="0.3">
      <c r="A7" s="355" t="str">
        <f>$E$1</f>
        <v>Unitil</v>
      </c>
      <c r="B7" s="349" t="s">
        <v>384</v>
      </c>
      <c r="C7" s="352" t="s">
        <v>383</v>
      </c>
      <c r="D7" s="352" t="s">
        <v>383</v>
      </c>
      <c r="E7" s="349" t="s">
        <v>385</v>
      </c>
      <c r="F7" s="285">
        <v>4</v>
      </c>
      <c r="G7" s="587">
        <v>4266</v>
      </c>
      <c r="H7" s="588">
        <v>39928166.320381127</v>
      </c>
      <c r="I7" s="587">
        <v>12.03</v>
      </c>
    </row>
    <row r="8" spans="1:9" s="123" customFormat="1" ht="30" customHeight="1" x14ac:dyDescent="0.3">
      <c r="A8" s="356" t="str">
        <f t="shared" ref="A8:A17" si="0">$E$1</f>
        <v>Unitil</v>
      </c>
      <c r="B8" s="20" t="s">
        <v>391</v>
      </c>
      <c r="C8" s="19" t="s">
        <v>383</v>
      </c>
      <c r="D8" s="19" t="s">
        <v>383</v>
      </c>
      <c r="E8" s="20" t="s">
        <v>385</v>
      </c>
      <c r="F8" s="287">
        <v>3</v>
      </c>
      <c r="G8" s="589">
        <v>2876</v>
      </c>
      <c r="H8" s="590">
        <v>24686048.197041642</v>
      </c>
      <c r="I8" s="589">
        <v>6.0939999999999994</v>
      </c>
    </row>
    <row r="9" spans="1:9" s="123" customFormat="1" ht="30" customHeight="1" x14ac:dyDescent="0.3">
      <c r="A9" s="356" t="str">
        <f t="shared" si="0"/>
        <v>Unitil</v>
      </c>
      <c r="B9" s="20" t="s">
        <v>395</v>
      </c>
      <c r="C9" s="19" t="s">
        <v>383</v>
      </c>
      <c r="D9" s="19" t="s">
        <v>383</v>
      </c>
      <c r="E9" s="20" t="s">
        <v>395</v>
      </c>
      <c r="F9" s="287">
        <v>4</v>
      </c>
      <c r="G9" s="589">
        <v>2110</v>
      </c>
      <c r="H9" s="590">
        <v>45883796.256239049</v>
      </c>
      <c r="I9" s="589">
        <v>10.606</v>
      </c>
    </row>
    <row r="10" spans="1:9" s="123" customFormat="1" ht="30" customHeight="1" x14ac:dyDescent="0.3">
      <c r="A10" s="356" t="str">
        <f t="shared" si="0"/>
        <v>Unitil</v>
      </c>
      <c r="B10" s="20" t="s">
        <v>401</v>
      </c>
      <c r="C10" s="19" t="s">
        <v>383</v>
      </c>
      <c r="D10" s="19" t="s">
        <v>383</v>
      </c>
      <c r="E10" s="20" t="s">
        <v>385</v>
      </c>
      <c r="F10" s="287">
        <v>1</v>
      </c>
      <c r="G10" s="589">
        <v>908</v>
      </c>
      <c r="H10" s="590">
        <v>7571089.2714877343</v>
      </c>
      <c r="I10" s="589">
        <v>1.625</v>
      </c>
    </row>
    <row r="11" spans="1:9" s="123" customFormat="1" ht="30" customHeight="1" x14ac:dyDescent="0.3">
      <c r="A11" s="356" t="str">
        <f t="shared" si="0"/>
        <v>Unitil</v>
      </c>
      <c r="B11" s="20" t="s">
        <v>403</v>
      </c>
      <c r="C11" s="19" t="s">
        <v>383</v>
      </c>
      <c r="D11" s="19" t="s">
        <v>383</v>
      </c>
      <c r="E11" s="20" t="s">
        <v>385</v>
      </c>
      <c r="F11" s="287">
        <v>1</v>
      </c>
      <c r="G11" s="589" t="s">
        <v>383</v>
      </c>
      <c r="H11" s="589" t="s">
        <v>383</v>
      </c>
      <c r="I11" s="589" t="s">
        <v>383</v>
      </c>
    </row>
    <row r="12" spans="1:9" s="123" customFormat="1" ht="30" customHeight="1" x14ac:dyDescent="0.3">
      <c r="A12" s="356" t="str">
        <f t="shared" si="0"/>
        <v>Unitil</v>
      </c>
      <c r="B12" s="20" t="s">
        <v>404</v>
      </c>
      <c r="C12" s="19" t="s">
        <v>383</v>
      </c>
      <c r="D12" s="19" t="s">
        <v>383</v>
      </c>
      <c r="E12" s="20" t="s">
        <v>385</v>
      </c>
      <c r="F12" s="287">
        <v>8</v>
      </c>
      <c r="G12" s="589">
        <v>2616</v>
      </c>
      <c r="H12" s="590">
        <v>38652579.77960179</v>
      </c>
      <c r="I12" s="589">
        <v>12.803999999999998</v>
      </c>
    </row>
    <row r="13" spans="1:9" s="123" customFormat="1" ht="30" customHeight="1" x14ac:dyDescent="0.3">
      <c r="A13" s="356" t="str">
        <f t="shared" si="0"/>
        <v>Unitil</v>
      </c>
      <c r="B13" s="20" t="s">
        <v>414</v>
      </c>
      <c r="C13" s="19" t="s">
        <v>383</v>
      </c>
      <c r="D13" s="19" t="s">
        <v>383</v>
      </c>
      <c r="E13" s="20" t="s">
        <v>385</v>
      </c>
      <c r="F13" s="287">
        <v>3</v>
      </c>
      <c r="G13" s="589">
        <v>1872</v>
      </c>
      <c r="H13" s="590">
        <v>16404598.656417422</v>
      </c>
      <c r="I13" s="589">
        <v>4.0859999999999994</v>
      </c>
    </row>
    <row r="14" spans="1:9" s="123" customFormat="1" ht="30" customHeight="1" x14ac:dyDescent="0.3">
      <c r="A14" s="356" t="str">
        <f t="shared" si="0"/>
        <v>Unitil</v>
      </c>
      <c r="B14" s="20" t="s">
        <v>418</v>
      </c>
      <c r="C14" s="19" t="s">
        <v>383</v>
      </c>
      <c r="D14" s="19" t="s">
        <v>383</v>
      </c>
      <c r="E14" s="20" t="s">
        <v>418</v>
      </c>
      <c r="F14" s="287">
        <v>2</v>
      </c>
      <c r="G14" s="589">
        <v>3123</v>
      </c>
      <c r="H14" s="590">
        <v>41435370.93017222</v>
      </c>
      <c r="I14" s="589">
        <v>9.9130000000000003</v>
      </c>
    </row>
    <row r="15" spans="1:9" s="123" customFormat="1" ht="30" customHeight="1" x14ac:dyDescent="0.3">
      <c r="A15" s="356" t="str">
        <f t="shared" si="0"/>
        <v>Unitil</v>
      </c>
      <c r="B15" s="20" t="s">
        <v>422</v>
      </c>
      <c r="C15" s="19" t="s">
        <v>383</v>
      </c>
      <c r="D15" s="19" t="s">
        <v>383</v>
      </c>
      <c r="E15" s="20" t="s">
        <v>418</v>
      </c>
      <c r="F15" s="287">
        <v>3</v>
      </c>
      <c r="G15" s="589">
        <v>3790</v>
      </c>
      <c r="H15" s="590">
        <v>37938762.246801898</v>
      </c>
      <c r="I15" s="589">
        <v>9.2460000000000004</v>
      </c>
    </row>
    <row r="16" spans="1:9" s="123" customFormat="1" ht="30" customHeight="1" x14ac:dyDescent="0.3">
      <c r="A16" s="356" t="str">
        <f t="shared" si="0"/>
        <v>Unitil</v>
      </c>
      <c r="B16" s="20" t="s">
        <v>427</v>
      </c>
      <c r="C16" s="19" t="s">
        <v>383</v>
      </c>
      <c r="D16" s="19" t="s">
        <v>383</v>
      </c>
      <c r="E16" s="20" t="s">
        <v>385</v>
      </c>
      <c r="F16" s="287">
        <v>1</v>
      </c>
      <c r="G16" s="589">
        <v>796</v>
      </c>
      <c r="H16" s="590">
        <v>11651626.412419671</v>
      </c>
      <c r="I16" s="589">
        <v>10.029999999999999</v>
      </c>
    </row>
    <row r="17" spans="1:9" s="123" customFormat="1" ht="30" customHeight="1" x14ac:dyDescent="0.3">
      <c r="A17" s="356" t="str">
        <f t="shared" si="0"/>
        <v>Unitil</v>
      </c>
      <c r="B17" s="20" t="s">
        <v>430</v>
      </c>
      <c r="C17" s="19" t="s">
        <v>383</v>
      </c>
      <c r="D17" s="19" t="s">
        <v>383</v>
      </c>
      <c r="E17" s="20" t="s">
        <v>395</v>
      </c>
      <c r="F17" s="287">
        <v>2</v>
      </c>
      <c r="G17" s="589">
        <v>3310</v>
      </c>
      <c r="H17" s="590">
        <v>31369561.340731829</v>
      </c>
      <c r="I17" s="589">
        <v>2.972</v>
      </c>
    </row>
    <row r="18" spans="1:9" ht="30" customHeight="1" x14ac:dyDescent="0.3">
      <c r="A18" s="356" t="str">
        <f>$E$1</f>
        <v>Unitil</v>
      </c>
      <c r="B18" s="20" t="s">
        <v>434</v>
      </c>
      <c r="C18" s="19" t="s">
        <v>383</v>
      </c>
      <c r="D18" s="19" t="s">
        <v>383</v>
      </c>
      <c r="E18" s="20" t="s">
        <v>385</v>
      </c>
      <c r="F18" s="287">
        <v>6</v>
      </c>
      <c r="G18" s="589">
        <v>3934</v>
      </c>
      <c r="H18" s="590">
        <v>59146780.916581213</v>
      </c>
      <c r="I18" s="589">
        <v>16.41</v>
      </c>
    </row>
    <row r="19" spans="1:9" ht="30" customHeight="1" thickBot="1" x14ac:dyDescent="0.35">
      <c r="A19" s="357" t="str">
        <f>$E$1</f>
        <v>Unitil</v>
      </c>
      <c r="B19" s="8" t="s">
        <v>440</v>
      </c>
      <c r="C19" s="259" t="s">
        <v>383</v>
      </c>
      <c r="D19" s="17" t="s">
        <v>383</v>
      </c>
      <c r="E19" s="291" t="s">
        <v>385</v>
      </c>
      <c r="F19" s="289">
        <v>5</v>
      </c>
      <c r="G19" s="591">
        <v>1006</v>
      </c>
      <c r="H19" s="591">
        <v>36179603.866601557</v>
      </c>
      <c r="I19" s="592">
        <v>9.8710000000000004</v>
      </c>
    </row>
    <row r="20" spans="1:9" ht="32.25" customHeight="1" thickBot="1" x14ac:dyDescent="0.35">
      <c r="A20" s="353" t="str">
        <f>$E$1</f>
        <v>Unitil</v>
      </c>
      <c r="B20" s="437" t="s">
        <v>31</v>
      </c>
      <c r="C20" s="260"/>
      <c r="D20" s="74"/>
      <c r="E20" s="261"/>
      <c r="F20" s="202">
        <f>SUM(F7:F19)</f>
        <v>43</v>
      </c>
      <c r="G20" s="202">
        <f>SUM(G7:G19)</f>
        <v>30607</v>
      </c>
      <c r="H20" s="202">
        <f>SUM(H7:H19)</f>
        <v>390847984.1944772</v>
      </c>
      <c r="I20" s="202">
        <f>SUM(I7:I19)</f>
        <v>105.68699999999997</v>
      </c>
    </row>
    <row r="22" spans="1:9" x14ac:dyDescent="0.3">
      <c r="A22" s="247" t="s">
        <v>272</v>
      </c>
      <c r="B22" s="124"/>
      <c r="C22" s="148"/>
      <c r="D22" s="148"/>
      <c r="E22" s="148"/>
      <c r="F22" s="148"/>
      <c r="G22" s="148"/>
      <c r="H22" s="148"/>
      <c r="I22" s="123"/>
    </row>
  </sheetData>
  <printOptions headings="1" gridLines="1"/>
  <pageMargins left="0.7" right="0.7" top="0.75" bottom="0.75" header="0.3" footer="0.3"/>
  <pageSetup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pageSetUpPr fitToPage="1"/>
  </sheetPr>
  <dimension ref="A1:AJ72"/>
  <sheetViews>
    <sheetView zoomScale="75" zoomScaleNormal="75" workbookViewId="0">
      <pane xSplit="8" ySplit="7" topLeftCell="I56" activePane="bottomRight" state="frozen"/>
      <selection activeCell="S57" sqref="S57"/>
      <selection pane="topRight" activeCell="S57" sqref="S57"/>
      <selection pane="bottomLeft" activeCell="S57" sqref="S57"/>
      <selection pane="bottomRight" activeCell="S57" sqref="S57"/>
    </sheetView>
  </sheetViews>
  <sheetFormatPr defaultColWidth="9.109375" defaultRowHeight="14.4" x14ac:dyDescent="0.3"/>
  <cols>
    <col min="1" max="1" width="23.33203125" style="123" customWidth="1"/>
    <col min="2" max="3" width="15.6640625" style="57" customWidth="1"/>
    <col min="4" max="4" width="15.6640625" style="124" customWidth="1"/>
    <col min="5" max="6" width="22" style="124" bestFit="1" customWidth="1"/>
    <col min="7" max="7" width="21.6640625" style="124" bestFit="1" customWidth="1"/>
    <col min="8" max="8" width="24.109375" style="124" customWidth="1"/>
    <col min="9" max="9" width="10.6640625" style="123" customWidth="1"/>
    <col min="10" max="10" width="13.5546875" style="123" customWidth="1"/>
    <col min="11" max="11" width="12.5546875" style="123" customWidth="1"/>
    <col min="12" max="12" width="12" style="123" customWidth="1"/>
    <col min="13" max="15" width="10.6640625" style="123" customWidth="1"/>
    <col min="16" max="16" width="13" style="123" customWidth="1"/>
    <col min="17" max="17" width="10.6640625" style="123" customWidth="1"/>
    <col min="18" max="21" width="13.6640625" style="123" customWidth="1"/>
    <col min="22" max="22" width="19" style="123" customWidth="1"/>
    <col min="23" max="23" width="13.88671875" style="123" bestFit="1" customWidth="1"/>
    <col min="24" max="24" width="13.6640625" style="123" customWidth="1"/>
    <col min="25" max="25" width="18.109375" style="123" customWidth="1"/>
    <col min="26" max="26" width="13.6640625" style="123" customWidth="1"/>
    <col min="27" max="27" width="15.44140625" style="123" customWidth="1"/>
    <col min="28" max="28" width="14.44140625" style="123" customWidth="1"/>
    <col min="29" max="29" width="17" style="123" bestFit="1" customWidth="1"/>
    <col min="30" max="30" width="21.5546875" style="123" bestFit="1" customWidth="1"/>
    <col min="31" max="31" width="15.5546875" style="123" bestFit="1" customWidth="1"/>
    <col min="32" max="33" width="13.6640625" style="123" customWidth="1"/>
    <col min="34" max="34" width="15.5546875" style="123" customWidth="1"/>
    <col min="35" max="35" width="17.88671875" style="123" customWidth="1"/>
    <col min="36" max="36" width="23.88671875" style="123" customWidth="1"/>
    <col min="37" max="16384" width="9.109375" style="123"/>
  </cols>
  <sheetData>
    <row r="1" spans="1:36" x14ac:dyDescent="0.3">
      <c r="A1" s="1" t="s">
        <v>38</v>
      </c>
      <c r="B1" s="59" t="s">
        <v>1</v>
      </c>
      <c r="C1" s="59"/>
      <c r="D1" s="250" t="s">
        <v>2</v>
      </c>
      <c r="E1" s="250" t="s">
        <v>69</v>
      </c>
      <c r="G1" s="1"/>
      <c r="H1" s="1"/>
    </row>
    <row r="2" spans="1:36" x14ac:dyDescent="0.3">
      <c r="A2" s="1"/>
      <c r="B2" s="59"/>
      <c r="C2" s="59"/>
      <c r="D2" s="250" t="s">
        <v>4</v>
      </c>
      <c r="E2" s="265">
        <v>2023</v>
      </c>
      <c r="F2" s="123"/>
      <c r="G2" s="1"/>
      <c r="H2" s="1"/>
    </row>
    <row r="3" spans="1:36" x14ac:dyDescent="0.3">
      <c r="A3" s="2"/>
      <c r="B3" s="56"/>
      <c r="C3" s="56"/>
      <c r="D3" s="2"/>
      <c r="E3" s="2"/>
      <c r="G3" s="123"/>
      <c r="H3" s="123"/>
    </row>
    <row r="4" spans="1:36" ht="15" customHeight="1" x14ac:dyDescent="0.3">
      <c r="A4" s="116" t="s">
        <v>5</v>
      </c>
      <c r="B4" s="124"/>
      <c r="C4" s="124"/>
      <c r="I4" s="124"/>
      <c r="J4" s="124"/>
      <c r="K4" s="124"/>
      <c r="L4" s="124"/>
      <c r="M4" s="124"/>
      <c r="N4" s="124"/>
      <c r="O4" s="124"/>
      <c r="P4" s="124"/>
      <c r="Q4" s="124"/>
    </row>
    <row r="5" spans="1:36" ht="15" thickBot="1" x14ac:dyDescent="0.35">
      <c r="I5" s="124"/>
    </row>
    <row r="6" spans="1:36" ht="32.25" customHeight="1" thickBot="1" x14ac:dyDescent="0.35">
      <c r="A6" s="874" t="s">
        <v>6</v>
      </c>
      <c r="B6" s="875"/>
      <c r="C6" s="875"/>
      <c r="D6" s="875"/>
      <c r="E6" s="875"/>
      <c r="F6" s="875"/>
      <c r="G6" s="875"/>
      <c r="H6" s="876"/>
      <c r="I6" s="880" t="s">
        <v>343</v>
      </c>
      <c r="J6" s="881"/>
      <c r="K6" s="881"/>
      <c r="L6" s="881"/>
      <c r="M6" s="881"/>
      <c r="N6" s="882" t="s">
        <v>7</v>
      </c>
      <c r="O6" s="883"/>
      <c r="P6" s="883"/>
      <c r="Q6" s="884"/>
      <c r="R6" s="882" t="s">
        <v>8</v>
      </c>
      <c r="S6" s="883"/>
      <c r="T6" s="883"/>
      <c r="U6" s="885"/>
      <c r="V6" s="593" t="s">
        <v>9</v>
      </c>
      <c r="W6" s="877" t="s">
        <v>10</v>
      </c>
      <c r="X6" s="878"/>
      <c r="Y6" s="878"/>
      <c r="Z6" s="878"/>
      <c r="AA6" s="879"/>
      <c r="AB6" s="67" t="s">
        <v>11</v>
      </c>
      <c r="AC6" s="67" t="s">
        <v>335</v>
      </c>
      <c r="AD6" s="869" t="s">
        <v>336</v>
      </c>
      <c r="AE6" s="870"/>
      <c r="AF6" s="867" t="s">
        <v>342</v>
      </c>
      <c r="AG6" s="868"/>
      <c r="AH6" s="67" t="s">
        <v>341</v>
      </c>
      <c r="AI6" s="67" t="s">
        <v>362</v>
      </c>
      <c r="AJ6" s="67" t="s">
        <v>340</v>
      </c>
    </row>
    <row r="7" spans="1:36" ht="36" x14ac:dyDescent="0.3">
      <c r="A7" s="64" t="s">
        <v>2</v>
      </c>
      <c r="B7" s="64" t="s">
        <v>12</v>
      </c>
      <c r="C7" s="64" t="s">
        <v>13</v>
      </c>
      <c r="D7" s="27" t="s">
        <v>14</v>
      </c>
      <c r="E7" s="27" t="s">
        <v>15</v>
      </c>
      <c r="F7" s="27" t="s">
        <v>16</v>
      </c>
      <c r="G7" s="27" t="s">
        <v>17</v>
      </c>
      <c r="H7" s="197" t="s">
        <v>18</v>
      </c>
      <c r="I7" s="28" t="s">
        <v>361</v>
      </c>
      <c r="J7" s="29" t="s">
        <v>356</v>
      </c>
      <c r="K7" s="29" t="s">
        <v>364</v>
      </c>
      <c r="L7" s="29" t="s">
        <v>365</v>
      </c>
      <c r="M7" s="29" t="s">
        <v>367</v>
      </c>
      <c r="N7" s="28" t="s">
        <v>368</v>
      </c>
      <c r="O7" s="31" t="s">
        <v>369</v>
      </c>
      <c r="P7" s="31" t="s">
        <v>367</v>
      </c>
      <c r="Q7" s="32" t="s">
        <v>382</v>
      </c>
      <c r="R7" s="28" t="s">
        <v>372</v>
      </c>
      <c r="S7" s="31" t="s">
        <v>373</v>
      </c>
      <c r="T7" s="30" t="s">
        <v>374</v>
      </c>
      <c r="U7" s="29" t="s">
        <v>375</v>
      </c>
      <c r="V7" s="33" t="s">
        <v>447</v>
      </c>
      <c r="W7" s="33" t="s">
        <v>10</v>
      </c>
      <c r="X7" s="31" t="s">
        <v>335</v>
      </c>
      <c r="Y7" s="31" t="s">
        <v>377</v>
      </c>
      <c r="Z7" s="31" t="s">
        <v>378</v>
      </c>
      <c r="AA7" s="34" t="s">
        <v>359</v>
      </c>
      <c r="AB7" s="68" t="s">
        <v>360</v>
      </c>
      <c r="AC7" s="68" t="s">
        <v>335</v>
      </c>
      <c r="AD7" s="33" t="s">
        <v>339</v>
      </c>
      <c r="AE7" s="34" t="s">
        <v>338</v>
      </c>
      <c r="AF7" s="31" t="s">
        <v>358</v>
      </c>
      <c r="AG7" s="34" t="s">
        <v>380</v>
      </c>
      <c r="AH7" s="68"/>
      <c r="AI7" s="68" t="s">
        <v>337</v>
      </c>
      <c r="AJ7" s="68"/>
    </row>
    <row r="8" spans="1:36" ht="30" customHeight="1" x14ac:dyDescent="0.3">
      <c r="A8" s="60" t="str">
        <f t="shared" ref="A8:A64" si="0">$E$1</f>
        <v>Unitil</v>
      </c>
      <c r="B8" s="66" t="s">
        <v>383</v>
      </c>
      <c r="C8" s="66" t="s">
        <v>383</v>
      </c>
      <c r="D8" s="58" t="s">
        <v>384</v>
      </c>
      <c r="E8" s="58" t="s">
        <v>385</v>
      </c>
      <c r="F8" s="58" t="s">
        <v>386</v>
      </c>
      <c r="G8" s="58" t="s">
        <v>385</v>
      </c>
      <c r="H8" s="10" t="s">
        <v>387</v>
      </c>
      <c r="I8" s="58">
        <v>0</v>
      </c>
      <c r="J8" s="58"/>
      <c r="K8" s="66" t="s">
        <v>383</v>
      </c>
      <c r="L8" s="58" t="s">
        <v>383</v>
      </c>
      <c r="M8" s="58" t="s">
        <v>383</v>
      </c>
      <c r="N8" s="65"/>
      <c r="O8" s="58"/>
      <c r="P8" s="58"/>
      <c r="Q8" s="198"/>
      <c r="R8" s="65">
        <v>0</v>
      </c>
      <c r="S8" s="58">
        <v>0</v>
      </c>
      <c r="T8" s="58">
        <v>0</v>
      </c>
      <c r="U8" s="203">
        <v>0</v>
      </c>
      <c r="V8" s="65">
        <v>0</v>
      </c>
      <c r="W8" s="65" t="s">
        <v>383</v>
      </c>
      <c r="X8" s="58" t="s">
        <v>383</v>
      </c>
      <c r="Y8" s="58" t="s">
        <v>383</v>
      </c>
      <c r="Z8" s="58" t="s">
        <v>383</v>
      </c>
      <c r="AA8" s="828"/>
      <c r="AB8" s="69">
        <v>0</v>
      </c>
      <c r="AC8" s="69" t="s">
        <v>383</v>
      </c>
      <c r="AD8" s="65" t="s">
        <v>383</v>
      </c>
      <c r="AE8" s="198" t="s">
        <v>383</v>
      </c>
      <c r="AF8" s="58">
        <v>0</v>
      </c>
      <c r="AG8" s="204" t="s">
        <v>383</v>
      </c>
      <c r="AH8" s="69" t="s">
        <v>383</v>
      </c>
      <c r="AI8" s="69">
        <v>0</v>
      </c>
      <c r="AJ8" s="69" t="s">
        <v>383</v>
      </c>
    </row>
    <row r="9" spans="1:36" ht="30" customHeight="1" x14ac:dyDescent="0.3">
      <c r="A9" s="60" t="str">
        <f t="shared" si="0"/>
        <v>Unitil</v>
      </c>
      <c r="B9" s="66" t="s">
        <v>383</v>
      </c>
      <c r="C9" s="66" t="s">
        <v>383</v>
      </c>
      <c r="D9" s="58" t="s">
        <v>384</v>
      </c>
      <c r="E9" s="58" t="s">
        <v>385</v>
      </c>
      <c r="F9" s="58" t="s">
        <v>388</v>
      </c>
      <c r="G9" s="58" t="s">
        <v>385</v>
      </c>
      <c r="H9" s="10" t="s">
        <v>387</v>
      </c>
      <c r="I9" s="58">
        <v>0</v>
      </c>
      <c r="J9" s="58"/>
      <c r="K9" s="66" t="s">
        <v>383</v>
      </c>
      <c r="L9" s="58" t="s">
        <v>383</v>
      </c>
      <c r="M9" s="58" t="s">
        <v>383</v>
      </c>
      <c r="N9" s="65"/>
      <c r="O9" s="58"/>
      <c r="P9" s="58"/>
      <c r="Q9" s="198"/>
      <c r="R9" s="65">
        <v>0</v>
      </c>
      <c r="S9" s="58">
        <v>0</v>
      </c>
      <c r="T9" s="58">
        <v>0</v>
      </c>
      <c r="U9" s="203">
        <v>0</v>
      </c>
      <c r="V9" s="65">
        <v>0</v>
      </c>
      <c r="W9" s="65" t="s">
        <v>383</v>
      </c>
      <c r="X9" s="58" t="s">
        <v>383</v>
      </c>
      <c r="Y9" s="58" t="s">
        <v>383</v>
      </c>
      <c r="Z9" s="58" t="s">
        <v>383</v>
      </c>
      <c r="AA9" s="828"/>
      <c r="AB9" s="69">
        <v>0</v>
      </c>
      <c r="AC9" s="69" t="s">
        <v>383</v>
      </c>
      <c r="AD9" s="65" t="s">
        <v>383</v>
      </c>
      <c r="AE9" s="198" t="s">
        <v>383</v>
      </c>
      <c r="AF9" s="58">
        <v>0</v>
      </c>
      <c r="AG9" s="204" t="s">
        <v>383</v>
      </c>
      <c r="AH9" s="69" t="s">
        <v>383</v>
      </c>
      <c r="AI9" s="69">
        <v>0</v>
      </c>
      <c r="AJ9" s="69" t="s">
        <v>383</v>
      </c>
    </row>
    <row r="10" spans="1:36" ht="30" customHeight="1" x14ac:dyDescent="0.3">
      <c r="A10" s="60" t="str">
        <f t="shared" si="0"/>
        <v>Unitil</v>
      </c>
      <c r="B10" s="66" t="s">
        <v>383</v>
      </c>
      <c r="C10" s="66" t="s">
        <v>383</v>
      </c>
      <c r="D10" s="58" t="s">
        <v>384</v>
      </c>
      <c r="E10" s="58" t="s">
        <v>385</v>
      </c>
      <c r="F10" s="58" t="s">
        <v>389</v>
      </c>
      <c r="G10" s="58" t="s">
        <v>385</v>
      </c>
      <c r="H10" s="10" t="s">
        <v>387</v>
      </c>
      <c r="I10" s="58">
        <v>0</v>
      </c>
      <c r="J10" s="58"/>
      <c r="K10" s="66" t="s">
        <v>383</v>
      </c>
      <c r="L10" s="58" t="s">
        <v>383</v>
      </c>
      <c r="M10" s="58" t="s">
        <v>383</v>
      </c>
      <c r="N10" s="65"/>
      <c r="O10" s="58"/>
      <c r="P10" s="58"/>
      <c r="Q10" s="198"/>
      <c r="R10" s="65">
        <v>0</v>
      </c>
      <c r="S10" s="58">
        <v>0</v>
      </c>
      <c r="T10" s="58">
        <v>0</v>
      </c>
      <c r="U10" s="203">
        <v>0</v>
      </c>
      <c r="V10" s="65">
        <v>0</v>
      </c>
      <c r="W10" s="65" t="s">
        <v>383</v>
      </c>
      <c r="X10" s="58" t="s">
        <v>383</v>
      </c>
      <c r="Y10" s="58" t="s">
        <v>383</v>
      </c>
      <c r="Z10" s="58" t="s">
        <v>383</v>
      </c>
      <c r="AA10" s="828"/>
      <c r="AB10" s="69">
        <v>0</v>
      </c>
      <c r="AC10" s="69" t="s">
        <v>383</v>
      </c>
      <c r="AD10" s="65" t="s">
        <v>383</v>
      </c>
      <c r="AE10" s="198" t="s">
        <v>383</v>
      </c>
      <c r="AF10" s="58">
        <v>0</v>
      </c>
      <c r="AG10" s="204" t="s">
        <v>383</v>
      </c>
      <c r="AH10" s="69" t="s">
        <v>383</v>
      </c>
      <c r="AI10" s="69">
        <v>0</v>
      </c>
      <c r="AJ10" s="69" t="s">
        <v>383</v>
      </c>
    </row>
    <row r="11" spans="1:36" ht="30" customHeight="1" x14ac:dyDescent="0.3">
      <c r="A11" s="60" t="str">
        <f t="shared" si="0"/>
        <v>Unitil</v>
      </c>
      <c r="B11" s="66" t="s">
        <v>383</v>
      </c>
      <c r="C11" s="66" t="s">
        <v>383</v>
      </c>
      <c r="D11" s="58" t="s">
        <v>384</v>
      </c>
      <c r="E11" s="58" t="s">
        <v>385</v>
      </c>
      <c r="F11" s="58" t="s">
        <v>390</v>
      </c>
      <c r="G11" s="58" t="s">
        <v>385</v>
      </c>
      <c r="H11" s="10" t="s">
        <v>387</v>
      </c>
      <c r="I11" s="58">
        <v>0</v>
      </c>
      <c r="J11" s="58"/>
      <c r="K11" s="66" t="s">
        <v>383</v>
      </c>
      <c r="L11" s="58" t="s">
        <v>383</v>
      </c>
      <c r="M11" s="58" t="s">
        <v>383</v>
      </c>
      <c r="N11" s="65"/>
      <c r="O11" s="58"/>
      <c r="P11" s="58"/>
      <c r="Q11" s="198"/>
      <c r="R11" s="65">
        <v>0</v>
      </c>
      <c r="S11" s="58">
        <v>0</v>
      </c>
      <c r="T11" s="58">
        <v>0</v>
      </c>
      <c r="U11" s="203">
        <v>0</v>
      </c>
      <c r="V11" s="65">
        <v>0</v>
      </c>
      <c r="W11" s="65" t="s">
        <v>383</v>
      </c>
      <c r="X11" s="58" t="s">
        <v>383</v>
      </c>
      <c r="Y11" s="58" t="s">
        <v>383</v>
      </c>
      <c r="Z11" s="58" t="s">
        <v>383</v>
      </c>
      <c r="AA11" s="828"/>
      <c r="AB11" s="69">
        <v>0</v>
      </c>
      <c r="AC11" s="69" t="s">
        <v>383</v>
      </c>
      <c r="AD11" s="65" t="s">
        <v>383</v>
      </c>
      <c r="AE11" s="198" t="s">
        <v>383</v>
      </c>
      <c r="AF11" s="58">
        <v>0</v>
      </c>
      <c r="AG11" s="204" t="s">
        <v>383</v>
      </c>
      <c r="AH11" s="69" t="s">
        <v>383</v>
      </c>
      <c r="AI11" s="69">
        <v>0</v>
      </c>
      <c r="AJ11" s="69" t="s">
        <v>383</v>
      </c>
    </row>
    <row r="12" spans="1:36" ht="30" customHeight="1" x14ac:dyDescent="0.3">
      <c r="A12" s="60" t="str">
        <f>$E$1</f>
        <v>Unitil</v>
      </c>
      <c r="B12" s="66" t="s">
        <v>383</v>
      </c>
      <c r="C12" s="66" t="s">
        <v>383</v>
      </c>
      <c r="D12" s="58" t="s">
        <v>384</v>
      </c>
      <c r="E12" s="58" t="s">
        <v>385</v>
      </c>
      <c r="F12" s="496"/>
      <c r="G12" s="496"/>
      <c r="H12" s="497"/>
      <c r="I12" s="58">
        <v>0</v>
      </c>
      <c r="J12" s="58"/>
      <c r="K12" s="66" t="s">
        <v>383</v>
      </c>
      <c r="L12" s="58" t="s">
        <v>383</v>
      </c>
      <c r="M12" s="58" t="s">
        <v>383</v>
      </c>
      <c r="N12" s="65"/>
      <c r="O12" s="58"/>
      <c r="P12" s="58"/>
      <c r="Q12" s="198"/>
      <c r="R12" s="65">
        <v>0</v>
      </c>
      <c r="S12" s="58">
        <v>0</v>
      </c>
      <c r="T12" s="58">
        <v>0</v>
      </c>
      <c r="U12" s="203">
        <v>0</v>
      </c>
      <c r="V12" s="65">
        <v>0</v>
      </c>
      <c r="W12" s="65" t="s">
        <v>383</v>
      </c>
      <c r="X12" s="58" t="s">
        <v>383</v>
      </c>
      <c r="Y12" s="58" t="s">
        <v>383</v>
      </c>
      <c r="Z12" s="58" t="s">
        <v>383</v>
      </c>
      <c r="AA12" s="828"/>
      <c r="AB12" s="69">
        <v>0</v>
      </c>
      <c r="AC12" s="69" t="s">
        <v>383</v>
      </c>
      <c r="AD12" s="65" t="s">
        <v>383</v>
      </c>
      <c r="AE12" s="198" t="s">
        <v>383</v>
      </c>
      <c r="AF12" s="58">
        <v>0</v>
      </c>
      <c r="AG12" s="204" t="s">
        <v>383</v>
      </c>
      <c r="AH12" s="69" t="s">
        <v>383</v>
      </c>
      <c r="AI12" s="69">
        <v>0</v>
      </c>
      <c r="AJ12" s="69" t="s">
        <v>383</v>
      </c>
    </row>
    <row r="13" spans="1:36" ht="30" customHeight="1" x14ac:dyDescent="0.3">
      <c r="A13" s="60" t="str">
        <f t="shared" si="0"/>
        <v>Unitil</v>
      </c>
      <c r="B13" s="66" t="s">
        <v>383</v>
      </c>
      <c r="C13" s="66" t="s">
        <v>383</v>
      </c>
      <c r="D13" s="58" t="s">
        <v>391</v>
      </c>
      <c r="E13" s="58" t="s">
        <v>385</v>
      </c>
      <c r="F13" s="58" t="s">
        <v>392</v>
      </c>
      <c r="G13" s="58" t="s">
        <v>385</v>
      </c>
      <c r="H13" s="10" t="s">
        <v>387</v>
      </c>
      <c r="I13" s="58">
        <v>0</v>
      </c>
      <c r="J13" s="58"/>
      <c r="K13" s="66" t="s">
        <v>383</v>
      </c>
      <c r="L13" s="58" t="s">
        <v>383</v>
      </c>
      <c r="M13" s="58" t="s">
        <v>383</v>
      </c>
      <c r="N13" s="65"/>
      <c r="O13" s="58"/>
      <c r="P13" s="58"/>
      <c r="Q13" s="198"/>
      <c r="R13" s="65">
        <v>0</v>
      </c>
      <c r="S13" s="58">
        <v>0</v>
      </c>
      <c r="T13" s="58">
        <v>0</v>
      </c>
      <c r="U13" s="203">
        <v>0</v>
      </c>
      <c r="V13" s="65">
        <v>0</v>
      </c>
      <c r="W13" s="65" t="s">
        <v>383</v>
      </c>
      <c r="X13" s="58" t="s">
        <v>383</v>
      </c>
      <c r="Y13" s="58" t="s">
        <v>383</v>
      </c>
      <c r="Z13" s="58" t="s">
        <v>383</v>
      </c>
      <c r="AA13" s="828"/>
      <c r="AB13" s="69">
        <v>0</v>
      </c>
      <c r="AC13" s="69" t="s">
        <v>383</v>
      </c>
      <c r="AD13" s="65" t="s">
        <v>383</v>
      </c>
      <c r="AE13" s="198" t="s">
        <v>383</v>
      </c>
      <c r="AF13" s="58">
        <v>0</v>
      </c>
      <c r="AG13" s="204" t="s">
        <v>383</v>
      </c>
      <c r="AH13" s="69" t="s">
        <v>383</v>
      </c>
      <c r="AI13" s="69">
        <v>0</v>
      </c>
      <c r="AJ13" s="69" t="s">
        <v>383</v>
      </c>
    </row>
    <row r="14" spans="1:36" ht="30" customHeight="1" x14ac:dyDescent="0.3">
      <c r="A14" s="60" t="str">
        <f t="shared" si="0"/>
        <v>Unitil</v>
      </c>
      <c r="B14" s="66" t="s">
        <v>383</v>
      </c>
      <c r="C14" s="66" t="s">
        <v>383</v>
      </c>
      <c r="D14" s="58" t="s">
        <v>391</v>
      </c>
      <c r="E14" s="58" t="s">
        <v>385</v>
      </c>
      <c r="F14" s="58" t="s">
        <v>393</v>
      </c>
      <c r="G14" s="58" t="s">
        <v>385</v>
      </c>
      <c r="H14" s="10" t="s">
        <v>387</v>
      </c>
      <c r="I14" s="58">
        <v>0</v>
      </c>
      <c r="J14" s="58"/>
      <c r="K14" s="66" t="s">
        <v>383</v>
      </c>
      <c r="L14" s="58" t="s">
        <v>383</v>
      </c>
      <c r="M14" s="58" t="s">
        <v>383</v>
      </c>
      <c r="N14" s="65"/>
      <c r="O14" s="58"/>
      <c r="P14" s="58"/>
      <c r="Q14" s="198"/>
      <c r="R14" s="65">
        <v>0</v>
      </c>
      <c r="S14" s="58">
        <v>0</v>
      </c>
      <c r="T14" s="58">
        <v>0</v>
      </c>
      <c r="U14" s="203">
        <v>0</v>
      </c>
      <c r="V14" s="65">
        <v>0</v>
      </c>
      <c r="W14" s="65" t="s">
        <v>383</v>
      </c>
      <c r="X14" s="58" t="s">
        <v>383</v>
      </c>
      <c r="Y14" s="58" t="s">
        <v>383</v>
      </c>
      <c r="Z14" s="58" t="s">
        <v>383</v>
      </c>
      <c r="AA14" s="828"/>
      <c r="AB14" s="69">
        <v>0</v>
      </c>
      <c r="AC14" s="69" t="s">
        <v>383</v>
      </c>
      <c r="AD14" s="65" t="s">
        <v>383</v>
      </c>
      <c r="AE14" s="198" t="s">
        <v>383</v>
      </c>
      <c r="AF14" s="58">
        <v>0</v>
      </c>
      <c r="AG14" s="204" t="s">
        <v>383</v>
      </c>
      <c r="AH14" s="69" t="s">
        <v>383</v>
      </c>
      <c r="AI14" s="69">
        <v>0</v>
      </c>
      <c r="AJ14" s="69" t="s">
        <v>383</v>
      </c>
    </row>
    <row r="15" spans="1:36" ht="30" customHeight="1" x14ac:dyDescent="0.3">
      <c r="A15" s="60" t="str">
        <f t="shared" si="0"/>
        <v>Unitil</v>
      </c>
      <c r="B15" s="66" t="s">
        <v>383</v>
      </c>
      <c r="C15" s="66" t="s">
        <v>383</v>
      </c>
      <c r="D15" s="58" t="s">
        <v>391</v>
      </c>
      <c r="E15" s="58" t="s">
        <v>385</v>
      </c>
      <c r="F15" s="58" t="s">
        <v>394</v>
      </c>
      <c r="G15" s="58" t="s">
        <v>385</v>
      </c>
      <c r="H15" s="10" t="s">
        <v>387</v>
      </c>
      <c r="I15" s="58">
        <v>0</v>
      </c>
      <c r="J15" s="58"/>
      <c r="K15" s="66" t="s">
        <v>383</v>
      </c>
      <c r="L15" s="58" t="s">
        <v>383</v>
      </c>
      <c r="M15" s="58" t="s">
        <v>383</v>
      </c>
      <c r="N15" s="65"/>
      <c r="O15" s="58"/>
      <c r="P15" s="58"/>
      <c r="Q15" s="198"/>
      <c r="R15" s="65">
        <v>0</v>
      </c>
      <c r="S15" s="58">
        <v>0</v>
      </c>
      <c r="T15" s="58">
        <v>0</v>
      </c>
      <c r="U15" s="203">
        <v>0</v>
      </c>
      <c r="V15" s="65">
        <v>0</v>
      </c>
      <c r="W15" s="65" t="s">
        <v>383</v>
      </c>
      <c r="X15" s="58" t="s">
        <v>383</v>
      </c>
      <c r="Y15" s="58" t="s">
        <v>383</v>
      </c>
      <c r="Z15" s="58" t="s">
        <v>383</v>
      </c>
      <c r="AA15" s="828"/>
      <c r="AB15" s="69">
        <v>0</v>
      </c>
      <c r="AC15" s="69" t="s">
        <v>383</v>
      </c>
      <c r="AD15" s="65" t="s">
        <v>383</v>
      </c>
      <c r="AE15" s="198" t="s">
        <v>383</v>
      </c>
      <c r="AF15" s="58">
        <v>0</v>
      </c>
      <c r="AG15" s="204" t="s">
        <v>383</v>
      </c>
      <c r="AH15" s="69" t="s">
        <v>383</v>
      </c>
      <c r="AI15" s="69">
        <v>0</v>
      </c>
      <c r="AJ15" s="69" t="s">
        <v>383</v>
      </c>
    </row>
    <row r="16" spans="1:36" ht="30" customHeight="1" x14ac:dyDescent="0.3">
      <c r="A16" s="60" t="str">
        <f t="shared" si="0"/>
        <v>Unitil</v>
      </c>
      <c r="B16" s="66" t="s">
        <v>383</v>
      </c>
      <c r="C16" s="66" t="s">
        <v>383</v>
      </c>
      <c r="D16" s="58" t="s">
        <v>391</v>
      </c>
      <c r="E16" s="58" t="s">
        <v>385</v>
      </c>
      <c r="F16" s="496"/>
      <c r="G16" s="496"/>
      <c r="H16" s="497"/>
      <c r="I16" s="58">
        <v>0</v>
      </c>
      <c r="J16" s="58"/>
      <c r="K16" s="66" t="s">
        <v>383</v>
      </c>
      <c r="L16" s="58" t="s">
        <v>383</v>
      </c>
      <c r="M16" s="58" t="s">
        <v>383</v>
      </c>
      <c r="N16" s="65"/>
      <c r="O16" s="58"/>
      <c r="P16" s="58"/>
      <c r="Q16" s="198"/>
      <c r="R16" s="65">
        <v>0</v>
      </c>
      <c r="S16" s="58">
        <v>0</v>
      </c>
      <c r="T16" s="58">
        <v>0</v>
      </c>
      <c r="U16" s="203">
        <v>0</v>
      </c>
      <c r="V16" s="65">
        <v>0</v>
      </c>
      <c r="W16" s="65" t="s">
        <v>383</v>
      </c>
      <c r="X16" s="58" t="s">
        <v>383</v>
      </c>
      <c r="Y16" s="58" t="s">
        <v>383</v>
      </c>
      <c r="Z16" s="58" t="s">
        <v>383</v>
      </c>
      <c r="AA16" s="828"/>
      <c r="AB16" s="69">
        <v>0</v>
      </c>
      <c r="AC16" s="69" t="s">
        <v>383</v>
      </c>
      <c r="AD16" s="65" t="s">
        <v>383</v>
      </c>
      <c r="AE16" s="198" t="s">
        <v>383</v>
      </c>
      <c r="AF16" s="58">
        <v>0</v>
      </c>
      <c r="AG16" s="204" t="s">
        <v>383</v>
      </c>
      <c r="AH16" s="69" t="s">
        <v>383</v>
      </c>
      <c r="AI16" s="69">
        <v>0</v>
      </c>
      <c r="AJ16" s="69" t="s">
        <v>383</v>
      </c>
    </row>
    <row r="17" spans="1:36" ht="30" customHeight="1" x14ac:dyDescent="0.3">
      <c r="A17" s="60" t="str">
        <f t="shared" si="0"/>
        <v>Unitil</v>
      </c>
      <c r="B17" s="66" t="s">
        <v>383</v>
      </c>
      <c r="C17" s="66" t="s">
        <v>383</v>
      </c>
      <c r="D17" s="58" t="s">
        <v>395</v>
      </c>
      <c r="E17" s="58" t="s">
        <v>395</v>
      </c>
      <c r="F17" s="58" t="s">
        <v>396</v>
      </c>
      <c r="G17" s="58" t="s">
        <v>395</v>
      </c>
      <c r="H17" s="10" t="s">
        <v>387</v>
      </c>
      <c r="I17" s="58">
        <v>0</v>
      </c>
      <c r="J17" s="58"/>
      <c r="K17" s="66" t="s">
        <v>383</v>
      </c>
      <c r="L17" s="58" t="s">
        <v>383</v>
      </c>
      <c r="M17" s="58" t="s">
        <v>383</v>
      </c>
      <c r="N17" s="65"/>
      <c r="O17" s="58"/>
      <c r="P17" s="58"/>
      <c r="Q17" s="198"/>
      <c r="R17" s="65">
        <v>0</v>
      </c>
      <c r="S17" s="58">
        <v>0</v>
      </c>
      <c r="T17" s="58">
        <v>0</v>
      </c>
      <c r="U17" s="203">
        <v>0</v>
      </c>
      <c r="V17" s="65">
        <v>0</v>
      </c>
      <c r="W17" s="65" t="s">
        <v>383</v>
      </c>
      <c r="X17" s="58" t="s">
        <v>383</v>
      </c>
      <c r="Y17" s="58" t="s">
        <v>383</v>
      </c>
      <c r="Z17" s="58" t="s">
        <v>383</v>
      </c>
      <c r="AA17" s="828"/>
      <c r="AB17" s="69">
        <v>0</v>
      </c>
      <c r="AC17" s="69" t="s">
        <v>383</v>
      </c>
      <c r="AD17" s="65" t="s">
        <v>383</v>
      </c>
      <c r="AE17" s="198" t="s">
        <v>383</v>
      </c>
      <c r="AF17" s="58">
        <v>0</v>
      </c>
      <c r="AG17" s="204" t="s">
        <v>383</v>
      </c>
      <c r="AH17" s="69" t="s">
        <v>383</v>
      </c>
      <c r="AI17" s="69">
        <v>0</v>
      </c>
      <c r="AJ17" s="69" t="s">
        <v>383</v>
      </c>
    </row>
    <row r="18" spans="1:36" ht="30" customHeight="1" x14ac:dyDescent="0.3">
      <c r="A18" s="60" t="str">
        <f t="shared" si="0"/>
        <v>Unitil</v>
      </c>
      <c r="B18" s="66" t="s">
        <v>383</v>
      </c>
      <c r="C18" s="66" t="s">
        <v>383</v>
      </c>
      <c r="D18" s="58" t="s">
        <v>395</v>
      </c>
      <c r="E18" s="58" t="s">
        <v>395</v>
      </c>
      <c r="F18" s="58" t="s">
        <v>397</v>
      </c>
      <c r="G18" s="58" t="s">
        <v>395</v>
      </c>
      <c r="H18" s="10" t="s">
        <v>387</v>
      </c>
      <c r="I18" s="58">
        <v>0</v>
      </c>
      <c r="J18" s="58"/>
      <c r="K18" s="66" t="s">
        <v>383</v>
      </c>
      <c r="L18" s="58" t="s">
        <v>383</v>
      </c>
      <c r="M18" s="58" t="s">
        <v>383</v>
      </c>
      <c r="N18" s="65"/>
      <c r="O18" s="58"/>
      <c r="P18" s="58"/>
      <c r="Q18" s="198"/>
      <c r="R18" s="65">
        <v>0</v>
      </c>
      <c r="S18" s="58">
        <v>0</v>
      </c>
      <c r="T18" s="58">
        <v>0</v>
      </c>
      <c r="U18" s="203">
        <v>0</v>
      </c>
      <c r="V18" s="65">
        <v>0</v>
      </c>
      <c r="W18" s="65" t="s">
        <v>383</v>
      </c>
      <c r="X18" s="58" t="s">
        <v>383</v>
      </c>
      <c r="Y18" s="58" t="s">
        <v>383</v>
      </c>
      <c r="Z18" s="58" t="s">
        <v>383</v>
      </c>
      <c r="AA18" s="828"/>
      <c r="AB18" s="69">
        <v>0</v>
      </c>
      <c r="AC18" s="69" t="s">
        <v>383</v>
      </c>
      <c r="AD18" s="65" t="s">
        <v>383</v>
      </c>
      <c r="AE18" s="198" t="s">
        <v>383</v>
      </c>
      <c r="AF18" s="58">
        <v>0</v>
      </c>
      <c r="AG18" s="204" t="s">
        <v>383</v>
      </c>
      <c r="AH18" s="69" t="s">
        <v>383</v>
      </c>
      <c r="AI18" s="69">
        <v>0</v>
      </c>
      <c r="AJ18" s="69" t="s">
        <v>383</v>
      </c>
    </row>
    <row r="19" spans="1:36" ht="30" customHeight="1" x14ac:dyDescent="0.3">
      <c r="A19" s="60" t="str">
        <f t="shared" si="0"/>
        <v>Unitil</v>
      </c>
      <c r="B19" s="66" t="s">
        <v>383</v>
      </c>
      <c r="C19" s="66" t="s">
        <v>383</v>
      </c>
      <c r="D19" s="58" t="s">
        <v>395</v>
      </c>
      <c r="E19" s="58" t="s">
        <v>395</v>
      </c>
      <c r="F19" s="58" t="s">
        <v>398</v>
      </c>
      <c r="G19" s="58" t="s">
        <v>399</v>
      </c>
      <c r="H19" s="10" t="s">
        <v>387</v>
      </c>
      <c r="I19" s="58">
        <v>0</v>
      </c>
      <c r="J19" s="58"/>
      <c r="K19" s="66" t="s">
        <v>383</v>
      </c>
      <c r="L19" s="58" t="s">
        <v>383</v>
      </c>
      <c r="M19" s="58" t="s">
        <v>383</v>
      </c>
      <c r="N19" s="65"/>
      <c r="O19" s="58"/>
      <c r="P19" s="58"/>
      <c r="Q19" s="198"/>
      <c r="R19" s="65">
        <v>0</v>
      </c>
      <c r="S19" s="58">
        <v>0</v>
      </c>
      <c r="T19" s="58">
        <v>0</v>
      </c>
      <c r="U19" s="203">
        <v>0</v>
      </c>
      <c r="V19" s="65">
        <v>0</v>
      </c>
      <c r="W19" s="65" t="s">
        <v>383</v>
      </c>
      <c r="X19" s="58" t="s">
        <v>383</v>
      </c>
      <c r="Y19" s="58" t="s">
        <v>383</v>
      </c>
      <c r="Z19" s="58" t="s">
        <v>383</v>
      </c>
      <c r="AA19" s="828"/>
      <c r="AB19" s="69">
        <v>0</v>
      </c>
      <c r="AC19" s="69" t="s">
        <v>383</v>
      </c>
      <c r="AD19" s="65" t="s">
        <v>383</v>
      </c>
      <c r="AE19" s="198" t="s">
        <v>383</v>
      </c>
      <c r="AF19" s="58">
        <v>0</v>
      </c>
      <c r="AG19" s="204" t="s">
        <v>383</v>
      </c>
      <c r="AH19" s="69" t="s">
        <v>383</v>
      </c>
      <c r="AI19" s="69">
        <v>0</v>
      </c>
      <c r="AJ19" s="69" t="s">
        <v>383</v>
      </c>
    </row>
    <row r="20" spans="1:36" ht="30" customHeight="1" x14ac:dyDescent="0.3">
      <c r="A20" s="60" t="str">
        <f t="shared" si="0"/>
        <v>Unitil</v>
      </c>
      <c r="B20" s="66" t="s">
        <v>383</v>
      </c>
      <c r="C20" s="66" t="s">
        <v>383</v>
      </c>
      <c r="D20" s="58" t="s">
        <v>395</v>
      </c>
      <c r="E20" s="58" t="s">
        <v>395</v>
      </c>
      <c r="F20" s="58" t="s">
        <v>400</v>
      </c>
      <c r="G20" s="58" t="s">
        <v>395</v>
      </c>
      <c r="H20" s="10" t="s">
        <v>387</v>
      </c>
      <c r="I20" s="58">
        <v>0</v>
      </c>
      <c r="J20" s="58"/>
      <c r="K20" s="66" t="s">
        <v>383</v>
      </c>
      <c r="L20" s="58" t="s">
        <v>383</v>
      </c>
      <c r="M20" s="58" t="s">
        <v>383</v>
      </c>
      <c r="N20" s="65"/>
      <c r="O20" s="58"/>
      <c r="P20" s="58"/>
      <c r="Q20" s="198"/>
      <c r="R20" s="65">
        <v>0</v>
      </c>
      <c r="S20" s="58">
        <v>0</v>
      </c>
      <c r="T20" s="58">
        <v>0</v>
      </c>
      <c r="U20" s="203">
        <v>0</v>
      </c>
      <c r="V20" s="65">
        <v>0</v>
      </c>
      <c r="W20" s="65" t="s">
        <v>383</v>
      </c>
      <c r="X20" s="58" t="s">
        <v>383</v>
      </c>
      <c r="Y20" s="58" t="s">
        <v>383</v>
      </c>
      <c r="Z20" s="58" t="s">
        <v>383</v>
      </c>
      <c r="AA20" s="828"/>
      <c r="AB20" s="69">
        <v>0</v>
      </c>
      <c r="AC20" s="69" t="s">
        <v>383</v>
      </c>
      <c r="AD20" s="65" t="s">
        <v>383</v>
      </c>
      <c r="AE20" s="198" t="s">
        <v>383</v>
      </c>
      <c r="AF20" s="58">
        <v>0</v>
      </c>
      <c r="AG20" s="204" t="s">
        <v>383</v>
      </c>
      <c r="AH20" s="69" t="s">
        <v>383</v>
      </c>
      <c r="AI20" s="69">
        <v>0</v>
      </c>
      <c r="AJ20" s="69" t="s">
        <v>383</v>
      </c>
    </row>
    <row r="21" spans="1:36" ht="30" customHeight="1" x14ac:dyDescent="0.3">
      <c r="A21" s="60" t="str">
        <f t="shared" si="0"/>
        <v>Unitil</v>
      </c>
      <c r="B21" s="66" t="s">
        <v>383</v>
      </c>
      <c r="C21" s="66" t="s">
        <v>383</v>
      </c>
      <c r="D21" s="58" t="s">
        <v>395</v>
      </c>
      <c r="E21" s="58" t="s">
        <v>395</v>
      </c>
      <c r="F21" s="496"/>
      <c r="G21" s="496"/>
      <c r="H21" s="497"/>
      <c r="I21" s="58">
        <v>0</v>
      </c>
      <c r="J21" s="58"/>
      <c r="K21" s="66" t="s">
        <v>383</v>
      </c>
      <c r="L21" s="58" t="s">
        <v>383</v>
      </c>
      <c r="M21" s="58" t="s">
        <v>383</v>
      </c>
      <c r="N21" s="65"/>
      <c r="O21" s="58"/>
      <c r="P21" s="58"/>
      <c r="Q21" s="198"/>
      <c r="R21" s="65">
        <v>0</v>
      </c>
      <c r="S21" s="58">
        <v>0</v>
      </c>
      <c r="T21" s="58">
        <v>0</v>
      </c>
      <c r="U21" s="203">
        <v>0</v>
      </c>
      <c r="V21" s="65">
        <v>0</v>
      </c>
      <c r="W21" s="65" t="s">
        <v>383</v>
      </c>
      <c r="X21" s="58" t="s">
        <v>383</v>
      </c>
      <c r="Y21" s="58" t="s">
        <v>383</v>
      </c>
      <c r="Z21" s="58" t="s">
        <v>383</v>
      </c>
      <c r="AA21" s="828"/>
      <c r="AB21" s="69">
        <v>0</v>
      </c>
      <c r="AC21" s="69" t="s">
        <v>383</v>
      </c>
      <c r="AD21" s="65" t="s">
        <v>383</v>
      </c>
      <c r="AE21" s="198" t="s">
        <v>383</v>
      </c>
      <c r="AF21" s="58">
        <v>0</v>
      </c>
      <c r="AG21" s="204" t="s">
        <v>383</v>
      </c>
      <c r="AH21" s="69" t="s">
        <v>383</v>
      </c>
      <c r="AI21" s="69">
        <v>0</v>
      </c>
      <c r="AJ21" s="69" t="s">
        <v>383</v>
      </c>
    </row>
    <row r="22" spans="1:36" ht="30" customHeight="1" x14ac:dyDescent="0.3">
      <c r="A22" s="60" t="str">
        <f t="shared" si="0"/>
        <v>Unitil</v>
      </c>
      <c r="B22" s="66" t="s">
        <v>383</v>
      </c>
      <c r="C22" s="66" t="s">
        <v>383</v>
      </c>
      <c r="D22" s="58" t="s">
        <v>401</v>
      </c>
      <c r="E22" s="58" t="s">
        <v>385</v>
      </c>
      <c r="F22" s="58" t="s">
        <v>402</v>
      </c>
      <c r="G22" s="58" t="s">
        <v>385</v>
      </c>
      <c r="H22" s="10" t="s">
        <v>387</v>
      </c>
      <c r="I22" s="58">
        <v>1</v>
      </c>
      <c r="J22" s="58"/>
      <c r="K22" s="66" t="s">
        <v>383</v>
      </c>
      <c r="L22" s="58" t="s">
        <v>383</v>
      </c>
      <c r="M22" s="58" t="s">
        <v>383</v>
      </c>
      <c r="N22" s="65"/>
      <c r="O22" s="58"/>
      <c r="P22" s="58"/>
      <c r="Q22" s="198"/>
      <c r="R22" s="65">
        <v>0</v>
      </c>
      <c r="S22" s="58">
        <v>0</v>
      </c>
      <c r="T22" s="58">
        <v>0</v>
      </c>
      <c r="U22" s="203">
        <v>0</v>
      </c>
      <c r="V22" s="65">
        <v>0</v>
      </c>
      <c r="W22" s="65" t="s">
        <v>383</v>
      </c>
      <c r="X22" s="58" t="s">
        <v>383</v>
      </c>
      <c r="Y22" s="58" t="s">
        <v>383</v>
      </c>
      <c r="Z22" s="58" t="s">
        <v>383</v>
      </c>
      <c r="AA22" s="828"/>
      <c r="AB22" s="69">
        <v>0</v>
      </c>
      <c r="AC22" s="69" t="s">
        <v>383</v>
      </c>
      <c r="AD22" s="65" t="s">
        <v>383</v>
      </c>
      <c r="AE22" s="198" t="s">
        <v>383</v>
      </c>
      <c r="AF22" s="58">
        <v>0</v>
      </c>
      <c r="AG22" s="204" t="s">
        <v>383</v>
      </c>
      <c r="AH22" s="69" t="s">
        <v>383</v>
      </c>
      <c r="AI22" s="69">
        <v>0</v>
      </c>
      <c r="AJ22" s="69" t="s">
        <v>383</v>
      </c>
    </row>
    <row r="23" spans="1:36" ht="30" customHeight="1" x14ac:dyDescent="0.3">
      <c r="A23" s="60" t="str">
        <f t="shared" si="0"/>
        <v>Unitil</v>
      </c>
      <c r="B23" s="66" t="s">
        <v>383</v>
      </c>
      <c r="C23" s="66" t="s">
        <v>383</v>
      </c>
      <c r="D23" s="58" t="s">
        <v>401</v>
      </c>
      <c r="E23" s="58" t="s">
        <v>385</v>
      </c>
      <c r="F23" s="496"/>
      <c r="G23" s="496"/>
      <c r="H23" s="497"/>
      <c r="I23" s="58">
        <v>0</v>
      </c>
      <c r="J23" s="58"/>
      <c r="K23" s="66" t="s">
        <v>383</v>
      </c>
      <c r="L23" s="58" t="s">
        <v>383</v>
      </c>
      <c r="M23" s="58" t="s">
        <v>383</v>
      </c>
      <c r="N23" s="65"/>
      <c r="O23" s="58"/>
      <c r="P23" s="58"/>
      <c r="Q23" s="198"/>
      <c r="R23" s="65">
        <v>0</v>
      </c>
      <c r="S23" s="58">
        <v>0</v>
      </c>
      <c r="T23" s="58">
        <v>0</v>
      </c>
      <c r="U23" s="203">
        <v>0</v>
      </c>
      <c r="V23" s="65">
        <v>0</v>
      </c>
      <c r="W23" s="65" t="s">
        <v>383</v>
      </c>
      <c r="X23" s="58" t="s">
        <v>383</v>
      </c>
      <c r="Y23" s="58" t="s">
        <v>383</v>
      </c>
      <c r="Z23" s="58" t="s">
        <v>383</v>
      </c>
      <c r="AA23" s="828"/>
      <c r="AB23" s="69">
        <v>0</v>
      </c>
      <c r="AC23" s="69" t="s">
        <v>383</v>
      </c>
      <c r="AD23" s="65" t="s">
        <v>383</v>
      </c>
      <c r="AE23" s="198" t="s">
        <v>383</v>
      </c>
      <c r="AF23" s="58">
        <v>0</v>
      </c>
      <c r="AG23" s="204" t="s">
        <v>383</v>
      </c>
      <c r="AH23" s="69" t="s">
        <v>383</v>
      </c>
      <c r="AI23" s="69">
        <v>0</v>
      </c>
      <c r="AJ23" s="69" t="s">
        <v>383</v>
      </c>
    </row>
    <row r="24" spans="1:36" ht="30" customHeight="1" x14ac:dyDescent="0.3">
      <c r="A24" s="60" t="str">
        <f t="shared" si="0"/>
        <v>Unitil</v>
      </c>
      <c r="B24" s="66" t="s">
        <v>383</v>
      </c>
      <c r="C24" s="66" t="s">
        <v>383</v>
      </c>
      <c r="D24" s="58" t="s">
        <v>403</v>
      </c>
      <c r="E24" s="58" t="s">
        <v>385</v>
      </c>
      <c r="F24" s="58">
        <v>1341</v>
      </c>
      <c r="G24" s="58" t="s">
        <v>385</v>
      </c>
      <c r="H24" s="10" t="s">
        <v>387</v>
      </c>
      <c r="I24" s="58">
        <v>0</v>
      </c>
      <c r="J24" s="58"/>
      <c r="K24" s="66" t="s">
        <v>383</v>
      </c>
      <c r="L24" s="58" t="s">
        <v>383</v>
      </c>
      <c r="M24" s="58" t="s">
        <v>383</v>
      </c>
      <c r="N24" s="65"/>
      <c r="O24" s="58"/>
      <c r="P24" s="58"/>
      <c r="Q24" s="198"/>
      <c r="R24" s="65">
        <v>0</v>
      </c>
      <c r="S24" s="58">
        <v>0</v>
      </c>
      <c r="T24" s="58">
        <v>0</v>
      </c>
      <c r="U24" s="203">
        <v>0</v>
      </c>
      <c r="V24" s="65">
        <v>0</v>
      </c>
      <c r="W24" s="65" t="s">
        <v>383</v>
      </c>
      <c r="X24" s="58" t="s">
        <v>383</v>
      </c>
      <c r="Y24" s="58" t="s">
        <v>383</v>
      </c>
      <c r="Z24" s="58" t="s">
        <v>383</v>
      </c>
      <c r="AA24" s="828"/>
      <c r="AB24" s="69">
        <v>0</v>
      </c>
      <c r="AC24" s="69" t="s">
        <v>383</v>
      </c>
      <c r="AD24" s="65" t="s">
        <v>383</v>
      </c>
      <c r="AE24" s="198" t="s">
        <v>383</v>
      </c>
      <c r="AF24" s="58">
        <v>0</v>
      </c>
      <c r="AG24" s="204" t="s">
        <v>383</v>
      </c>
      <c r="AH24" s="69" t="s">
        <v>383</v>
      </c>
      <c r="AI24" s="69">
        <v>0</v>
      </c>
      <c r="AJ24" s="69" t="s">
        <v>383</v>
      </c>
    </row>
    <row r="25" spans="1:36" ht="30" customHeight="1" x14ac:dyDescent="0.3">
      <c r="A25" s="60" t="str">
        <f t="shared" si="0"/>
        <v>Unitil</v>
      </c>
      <c r="B25" s="66" t="s">
        <v>383</v>
      </c>
      <c r="C25" s="66" t="s">
        <v>383</v>
      </c>
      <c r="D25" s="58" t="s">
        <v>403</v>
      </c>
      <c r="E25" s="58" t="s">
        <v>385</v>
      </c>
      <c r="F25" s="496"/>
      <c r="G25" s="496"/>
      <c r="H25" s="497"/>
      <c r="I25" s="58">
        <v>0</v>
      </c>
      <c r="J25" s="58"/>
      <c r="K25" s="66" t="s">
        <v>383</v>
      </c>
      <c r="L25" s="58" t="s">
        <v>383</v>
      </c>
      <c r="M25" s="58" t="s">
        <v>383</v>
      </c>
      <c r="N25" s="65"/>
      <c r="O25" s="58"/>
      <c r="P25" s="58"/>
      <c r="Q25" s="198"/>
      <c r="R25" s="65">
        <v>0</v>
      </c>
      <c r="S25" s="58">
        <v>0</v>
      </c>
      <c r="T25" s="58">
        <v>0</v>
      </c>
      <c r="U25" s="203">
        <v>0</v>
      </c>
      <c r="V25" s="65">
        <v>0</v>
      </c>
      <c r="W25" s="65" t="s">
        <v>383</v>
      </c>
      <c r="X25" s="58" t="s">
        <v>383</v>
      </c>
      <c r="Y25" s="58" t="s">
        <v>383</v>
      </c>
      <c r="Z25" s="58" t="s">
        <v>383</v>
      </c>
      <c r="AA25" s="828"/>
      <c r="AB25" s="69">
        <v>0</v>
      </c>
      <c r="AC25" s="69" t="s">
        <v>383</v>
      </c>
      <c r="AD25" s="65" t="s">
        <v>383</v>
      </c>
      <c r="AE25" s="198" t="s">
        <v>383</v>
      </c>
      <c r="AF25" s="58">
        <v>0</v>
      </c>
      <c r="AG25" s="204" t="s">
        <v>383</v>
      </c>
      <c r="AH25" s="69" t="s">
        <v>383</v>
      </c>
      <c r="AI25" s="69">
        <v>0</v>
      </c>
      <c r="AJ25" s="69" t="s">
        <v>383</v>
      </c>
    </row>
    <row r="26" spans="1:36" ht="30" customHeight="1" x14ac:dyDescent="0.3">
      <c r="A26" s="60" t="str">
        <f t="shared" si="0"/>
        <v>Unitil</v>
      </c>
      <c r="B26" s="66" t="s">
        <v>383</v>
      </c>
      <c r="C26" s="66" t="s">
        <v>383</v>
      </c>
      <c r="D26" s="58" t="s">
        <v>404</v>
      </c>
      <c r="E26" s="58" t="s">
        <v>385</v>
      </c>
      <c r="F26" s="58" t="s">
        <v>405</v>
      </c>
      <c r="G26" s="58" t="s">
        <v>385</v>
      </c>
      <c r="H26" s="10" t="s">
        <v>387</v>
      </c>
      <c r="I26" s="58">
        <v>0</v>
      </c>
      <c r="J26" s="58"/>
      <c r="K26" s="66" t="s">
        <v>383</v>
      </c>
      <c r="L26" s="58" t="s">
        <v>383</v>
      </c>
      <c r="M26" s="58" t="s">
        <v>383</v>
      </c>
      <c r="N26" s="65"/>
      <c r="O26" s="58"/>
      <c r="P26" s="58"/>
      <c r="Q26" s="198"/>
      <c r="R26" s="65">
        <v>0</v>
      </c>
      <c r="S26" s="58">
        <v>0</v>
      </c>
      <c r="T26" s="58">
        <v>0</v>
      </c>
      <c r="U26" s="203">
        <v>0</v>
      </c>
      <c r="V26" s="65">
        <v>0</v>
      </c>
      <c r="W26" s="65" t="s">
        <v>383</v>
      </c>
      <c r="X26" s="58" t="s">
        <v>383</v>
      </c>
      <c r="Y26" s="58" t="s">
        <v>383</v>
      </c>
      <c r="Z26" s="58" t="s">
        <v>383</v>
      </c>
      <c r="AA26" s="828"/>
      <c r="AB26" s="69">
        <v>0</v>
      </c>
      <c r="AC26" s="69" t="s">
        <v>383</v>
      </c>
      <c r="AD26" s="65" t="s">
        <v>383</v>
      </c>
      <c r="AE26" s="198" t="s">
        <v>383</v>
      </c>
      <c r="AF26" s="58">
        <v>0</v>
      </c>
      <c r="AG26" s="204" t="s">
        <v>383</v>
      </c>
      <c r="AH26" s="69" t="s">
        <v>383</v>
      </c>
      <c r="AI26" s="69">
        <v>0</v>
      </c>
      <c r="AJ26" s="69" t="s">
        <v>383</v>
      </c>
    </row>
    <row r="27" spans="1:36" ht="30" customHeight="1" x14ac:dyDescent="0.3">
      <c r="A27" s="60" t="str">
        <f t="shared" si="0"/>
        <v>Unitil</v>
      </c>
      <c r="B27" s="66" t="s">
        <v>383</v>
      </c>
      <c r="C27" s="66" t="s">
        <v>383</v>
      </c>
      <c r="D27" s="58" t="s">
        <v>404</v>
      </c>
      <c r="E27" s="58" t="s">
        <v>385</v>
      </c>
      <c r="F27" s="58" t="s">
        <v>406</v>
      </c>
      <c r="G27" s="58" t="s">
        <v>385</v>
      </c>
      <c r="H27" s="10" t="s">
        <v>387</v>
      </c>
      <c r="I27" s="58">
        <v>0</v>
      </c>
      <c r="J27" s="58"/>
      <c r="K27" s="66" t="s">
        <v>383</v>
      </c>
      <c r="L27" s="58" t="s">
        <v>383</v>
      </c>
      <c r="M27" s="58" t="s">
        <v>383</v>
      </c>
      <c r="N27" s="65"/>
      <c r="O27" s="58"/>
      <c r="P27" s="58"/>
      <c r="Q27" s="198"/>
      <c r="R27" s="65">
        <v>0</v>
      </c>
      <c r="S27" s="58">
        <v>0</v>
      </c>
      <c r="T27" s="58">
        <v>0</v>
      </c>
      <c r="U27" s="203">
        <v>0</v>
      </c>
      <c r="V27" s="65">
        <v>0</v>
      </c>
      <c r="W27" s="65" t="s">
        <v>383</v>
      </c>
      <c r="X27" s="58" t="s">
        <v>383</v>
      </c>
      <c r="Y27" s="58" t="s">
        <v>383</v>
      </c>
      <c r="Z27" s="58" t="s">
        <v>383</v>
      </c>
      <c r="AA27" s="828"/>
      <c r="AB27" s="69">
        <v>0</v>
      </c>
      <c r="AC27" s="69" t="s">
        <v>383</v>
      </c>
      <c r="AD27" s="65" t="s">
        <v>383</v>
      </c>
      <c r="AE27" s="198" t="s">
        <v>383</v>
      </c>
      <c r="AF27" s="58">
        <v>0</v>
      </c>
      <c r="AG27" s="204" t="s">
        <v>383</v>
      </c>
      <c r="AH27" s="69" t="s">
        <v>383</v>
      </c>
      <c r="AI27" s="69">
        <v>0</v>
      </c>
      <c r="AJ27" s="69" t="s">
        <v>383</v>
      </c>
    </row>
    <row r="28" spans="1:36" ht="30" customHeight="1" x14ac:dyDescent="0.3">
      <c r="A28" s="60" t="str">
        <f t="shared" si="0"/>
        <v>Unitil</v>
      </c>
      <c r="B28" s="66" t="s">
        <v>383</v>
      </c>
      <c r="C28" s="66" t="s">
        <v>383</v>
      </c>
      <c r="D28" s="58" t="s">
        <v>404</v>
      </c>
      <c r="E28" s="58" t="s">
        <v>385</v>
      </c>
      <c r="F28" s="58" t="s">
        <v>407</v>
      </c>
      <c r="G28" s="58" t="s">
        <v>385</v>
      </c>
      <c r="H28" s="10" t="s">
        <v>387</v>
      </c>
      <c r="I28" s="58">
        <v>0</v>
      </c>
      <c r="J28" s="58"/>
      <c r="K28" s="66" t="s">
        <v>383</v>
      </c>
      <c r="L28" s="58" t="s">
        <v>383</v>
      </c>
      <c r="M28" s="58" t="s">
        <v>383</v>
      </c>
      <c r="N28" s="65"/>
      <c r="O28" s="58"/>
      <c r="P28" s="58"/>
      <c r="Q28" s="198"/>
      <c r="R28" s="65">
        <v>0</v>
      </c>
      <c r="S28" s="58">
        <v>0</v>
      </c>
      <c r="T28" s="58">
        <v>0</v>
      </c>
      <c r="U28" s="203">
        <v>0</v>
      </c>
      <c r="V28" s="65">
        <v>0</v>
      </c>
      <c r="W28" s="65" t="s">
        <v>383</v>
      </c>
      <c r="X28" s="58" t="s">
        <v>383</v>
      </c>
      <c r="Y28" s="58" t="s">
        <v>383</v>
      </c>
      <c r="Z28" s="58" t="s">
        <v>383</v>
      </c>
      <c r="AA28" s="828"/>
      <c r="AB28" s="69">
        <v>0</v>
      </c>
      <c r="AC28" s="69" t="s">
        <v>383</v>
      </c>
      <c r="AD28" s="65" t="s">
        <v>383</v>
      </c>
      <c r="AE28" s="198" t="s">
        <v>383</v>
      </c>
      <c r="AF28" s="58">
        <v>0</v>
      </c>
      <c r="AG28" s="204" t="s">
        <v>383</v>
      </c>
      <c r="AH28" s="69" t="s">
        <v>383</v>
      </c>
      <c r="AI28" s="69">
        <v>0</v>
      </c>
      <c r="AJ28" s="69" t="s">
        <v>383</v>
      </c>
    </row>
    <row r="29" spans="1:36" ht="30" customHeight="1" x14ac:dyDescent="0.3">
      <c r="A29" s="60" t="str">
        <f t="shared" si="0"/>
        <v>Unitil</v>
      </c>
      <c r="B29" s="66" t="s">
        <v>383</v>
      </c>
      <c r="C29" s="66" t="s">
        <v>383</v>
      </c>
      <c r="D29" s="58" t="s">
        <v>404</v>
      </c>
      <c r="E29" s="58" t="s">
        <v>385</v>
      </c>
      <c r="F29" s="58" t="s">
        <v>408</v>
      </c>
      <c r="G29" s="58" t="s">
        <v>385</v>
      </c>
      <c r="H29" s="10" t="s">
        <v>387</v>
      </c>
      <c r="I29" s="58">
        <v>0</v>
      </c>
      <c r="J29" s="58"/>
      <c r="K29" s="66" t="s">
        <v>383</v>
      </c>
      <c r="L29" s="58" t="s">
        <v>383</v>
      </c>
      <c r="M29" s="58" t="s">
        <v>383</v>
      </c>
      <c r="N29" s="65"/>
      <c r="O29" s="58"/>
      <c r="P29" s="58"/>
      <c r="Q29" s="198"/>
      <c r="R29" s="65">
        <v>0</v>
      </c>
      <c r="S29" s="58">
        <v>0</v>
      </c>
      <c r="T29" s="58">
        <v>0</v>
      </c>
      <c r="U29" s="203">
        <v>0</v>
      </c>
      <c r="V29" s="65">
        <v>0</v>
      </c>
      <c r="W29" s="65" t="s">
        <v>383</v>
      </c>
      <c r="X29" s="58" t="s">
        <v>383</v>
      </c>
      <c r="Y29" s="58" t="s">
        <v>383</v>
      </c>
      <c r="Z29" s="58" t="s">
        <v>383</v>
      </c>
      <c r="AA29" s="828"/>
      <c r="AB29" s="69">
        <v>0</v>
      </c>
      <c r="AC29" s="69" t="s">
        <v>383</v>
      </c>
      <c r="AD29" s="65" t="s">
        <v>383</v>
      </c>
      <c r="AE29" s="198" t="s">
        <v>383</v>
      </c>
      <c r="AF29" s="58">
        <v>0</v>
      </c>
      <c r="AG29" s="204" t="s">
        <v>383</v>
      </c>
      <c r="AH29" s="69" t="s">
        <v>383</v>
      </c>
      <c r="AI29" s="69">
        <v>0</v>
      </c>
      <c r="AJ29" s="69" t="s">
        <v>383</v>
      </c>
    </row>
    <row r="30" spans="1:36" ht="30" customHeight="1" x14ac:dyDescent="0.3">
      <c r="A30" s="60" t="str">
        <f t="shared" si="0"/>
        <v>Unitil</v>
      </c>
      <c r="B30" s="66" t="s">
        <v>383</v>
      </c>
      <c r="C30" s="66" t="s">
        <v>383</v>
      </c>
      <c r="D30" s="58" t="s">
        <v>404</v>
      </c>
      <c r="E30" s="58" t="s">
        <v>385</v>
      </c>
      <c r="F30" s="58" t="s">
        <v>409</v>
      </c>
      <c r="G30" s="58" t="s">
        <v>385</v>
      </c>
      <c r="H30" s="10" t="s">
        <v>387</v>
      </c>
      <c r="I30" s="58">
        <v>0</v>
      </c>
      <c r="J30" s="58"/>
      <c r="K30" s="66" t="s">
        <v>383</v>
      </c>
      <c r="L30" s="58" t="s">
        <v>383</v>
      </c>
      <c r="M30" s="58" t="s">
        <v>383</v>
      </c>
      <c r="N30" s="65"/>
      <c r="O30" s="58"/>
      <c r="P30" s="58"/>
      <c r="Q30" s="198"/>
      <c r="R30" s="65">
        <v>0</v>
      </c>
      <c r="S30" s="58">
        <v>0</v>
      </c>
      <c r="T30" s="58">
        <v>0</v>
      </c>
      <c r="U30" s="203">
        <v>0</v>
      </c>
      <c r="V30" s="65">
        <v>0</v>
      </c>
      <c r="W30" s="65" t="s">
        <v>383</v>
      </c>
      <c r="X30" s="58" t="s">
        <v>383</v>
      </c>
      <c r="Y30" s="58" t="s">
        <v>383</v>
      </c>
      <c r="Z30" s="58" t="s">
        <v>383</v>
      </c>
      <c r="AA30" s="828"/>
      <c r="AB30" s="69">
        <v>0</v>
      </c>
      <c r="AC30" s="69" t="s">
        <v>383</v>
      </c>
      <c r="AD30" s="65" t="s">
        <v>383</v>
      </c>
      <c r="AE30" s="198" t="s">
        <v>383</v>
      </c>
      <c r="AF30" s="58">
        <v>0</v>
      </c>
      <c r="AG30" s="204" t="s">
        <v>383</v>
      </c>
      <c r="AH30" s="69" t="s">
        <v>383</v>
      </c>
      <c r="AI30" s="69">
        <v>0</v>
      </c>
      <c r="AJ30" s="69" t="s">
        <v>383</v>
      </c>
    </row>
    <row r="31" spans="1:36" ht="30" customHeight="1" x14ac:dyDescent="0.3">
      <c r="A31" s="60" t="str">
        <f t="shared" si="0"/>
        <v>Unitil</v>
      </c>
      <c r="B31" s="66" t="s">
        <v>383</v>
      </c>
      <c r="C31" s="66" t="s">
        <v>383</v>
      </c>
      <c r="D31" s="58" t="s">
        <v>404</v>
      </c>
      <c r="E31" s="58" t="s">
        <v>385</v>
      </c>
      <c r="F31" s="58" t="s">
        <v>410</v>
      </c>
      <c r="G31" s="58" t="s">
        <v>385</v>
      </c>
      <c r="H31" s="10" t="s">
        <v>387</v>
      </c>
      <c r="I31" s="58">
        <v>0</v>
      </c>
      <c r="J31" s="58"/>
      <c r="K31" s="66" t="s">
        <v>383</v>
      </c>
      <c r="L31" s="58" t="s">
        <v>383</v>
      </c>
      <c r="M31" s="58" t="s">
        <v>383</v>
      </c>
      <c r="N31" s="65"/>
      <c r="O31" s="58"/>
      <c r="P31" s="58"/>
      <c r="Q31" s="198"/>
      <c r="R31" s="65">
        <v>0</v>
      </c>
      <c r="S31" s="58">
        <v>0</v>
      </c>
      <c r="T31" s="58">
        <v>0</v>
      </c>
      <c r="U31" s="203">
        <v>0</v>
      </c>
      <c r="V31" s="65">
        <v>0</v>
      </c>
      <c r="W31" s="65" t="s">
        <v>383</v>
      </c>
      <c r="X31" s="58" t="s">
        <v>383</v>
      </c>
      <c r="Y31" s="58" t="s">
        <v>383</v>
      </c>
      <c r="Z31" s="58" t="s">
        <v>383</v>
      </c>
      <c r="AA31" s="828"/>
      <c r="AB31" s="69">
        <v>0</v>
      </c>
      <c r="AC31" s="69" t="s">
        <v>383</v>
      </c>
      <c r="AD31" s="65" t="s">
        <v>383</v>
      </c>
      <c r="AE31" s="198" t="s">
        <v>383</v>
      </c>
      <c r="AF31" s="58">
        <v>0</v>
      </c>
      <c r="AG31" s="204" t="s">
        <v>383</v>
      </c>
      <c r="AH31" s="69" t="s">
        <v>383</v>
      </c>
      <c r="AI31" s="69">
        <v>0</v>
      </c>
      <c r="AJ31" s="69" t="s">
        <v>383</v>
      </c>
    </row>
    <row r="32" spans="1:36" ht="30" customHeight="1" x14ac:dyDescent="0.3">
      <c r="A32" s="60" t="str">
        <f t="shared" si="0"/>
        <v>Unitil</v>
      </c>
      <c r="B32" s="66" t="s">
        <v>383</v>
      </c>
      <c r="C32" s="66" t="s">
        <v>383</v>
      </c>
      <c r="D32" s="58" t="s">
        <v>404</v>
      </c>
      <c r="E32" s="58" t="s">
        <v>385</v>
      </c>
      <c r="F32" s="58" t="s">
        <v>411</v>
      </c>
      <c r="G32" s="58" t="s">
        <v>385</v>
      </c>
      <c r="H32" s="10" t="s">
        <v>387</v>
      </c>
      <c r="I32" s="58">
        <v>0</v>
      </c>
      <c r="J32" s="58"/>
      <c r="K32" s="66" t="s">
        <v>383</v>
      </c>
      <c r="L32" s="58" t="s">
        <v>383</v>
      </c>
      <c r="M32" s="58" t="s">
        <v>383</v>
      </c>
      <c r="N32" s="65"/>
      <c r="O32" s="58"/>
      <c r="P32" s="58"/>
      <c r="Q32" s="198"/>
      <c r="R32" s="65">
        <v>0</v>
      </c>
      <c r="S32" s="58">
        <v>0</v>
      </c>
      <c r="T32" s="58">
        <v>0</v>
      </c>
      <c r="U32" s="203">
        <v>0</v>
      </c>
      <c r="V32" s="65">
        <v>0</v>
      </c>
      <c r="W32" s="65" t="s">
        <v>383</v>
      </c>
      <c r="X32" s="58" t="s">
        <v>383</v>
      </c>
      <c r="Y32" s="58" t="s">
        <v>383</v>
      </c>
      <c r="Z32" s="58" t="s">
        <v>383</v>
      </c>
      <c r="AA32" s="828"/>
      <c r="AB32" s="69">
        <v>0</v>
      </c>
      <c r="AC32" s="69" t="s">
        <v>383</v>
      </c>
      <c r="AD32" s="65" t="s">
        <v>383</v>
      </c>
      <c r="AE32" s="198" t="s">
        <v>383</v>
      </c>
      <c r="AF32" s="58">
        <v>0</v>
      </c>
      <c r="AG32" s="204" t="s">
        <v>383</v>
      </c>
      <c r="AH32" s="69" t="s">
        <v>383</v>
      </c>
      <c r="AI32" s="69">
        <v>0</v>
      </c>
      <c r="AJ32" s="69" t="s">
        <v>383</v>
      </c>
    </row>
    <row r="33" spans="1:36" ht="30" customHeight="1" x14ac:dyDescent="0.3">
      <c r="A33" s="60" t="str">
        <f t="shared" si="0"/>
        <v>Unitil</v>
      </c>
      <c r="B33" s="66" t="s">
        <v>383</v>
      </c>
      <c r="C33" s="66" t="s">
        <v>383</v>
      </c>
      <c r="D33" s="58" t="s">
        <v>404</v>
      </c>
      <c r="E33" s="58" t="s">
        <v>385</v>
      </c>
      <c r="F33" s="58" t="s">
        <v>412</v>
      </c>
      <c r="G33" s="58" t="s">
        <v>385</v>
      </c>
      <c r="H33" s="10" t="s">
        <v>387</v>
      </c>
      <c r="I33" s="58">
        <v>0</v>
      </c>
      <c r="J33" s="58"/>
      <c r="K33" s="66" t="s">
        <v>383</v>
      </c>
      <c r="L33" s="58" t="s">
        <v>383</v>
      </c>
      <c r="M33" s="58" t="s">
        <v>383</v>
      </c>
      <c r="N33" s="65"/>
      <c r="O33" s="58"/>
      <c r="P33" s="58"/>
      <c r="Q33" s="198"/>
      <c r="R33" s="65">
        <v>0</v>
      </c>
      <c r="S33" s="58">
        <v>0</v>
      </c>
      <c r="T33" s="58">
        <v>0</v>
      </c>
      <c r="U33" s="203">
        <v>0</v>
      </c>
      <c r="V33" s="65">
        <v>0</v>
      </c>
      <c r="W33" s="65" t="s">
        <v>383</v>
      </c>
      <c r="X33" s="58" t="s">
        <v>383</v>
      </c>
      <c r="Y33" s="58" t="s">
        <v>383</v>
      </c>
      <c r="Z33" s="58" t="s">
        <v>383</v>
      </c>
      <c r="AA33" s="828"/>
      <c r="AB33" s="69">
        <v>0</v>
      </c>
      <c r="AC33" s="69" t="s">
        <v>383</v>
      </c>
      <c r="AD33" s="65" t="s">
        <v>383</v>
      </c>
      <c r="AE33" s="198" t="s">
        <v>383</v>
      </c>
      <c r="AF33" s="58">
        <v>0</v>
      </c>
      <c r="AG33" s="204" t="s">
        <v>383</v>
      </c>
      <c r="AH33" s="69" t="s">
        <v>383</v>
      </c>
      <c r="AI33" s="69">
        <v>0</v>
      </c>
      <c r="AJ33" s="69" t="s">
        <v>383</v>
      </c>
    </row>
    <row r="34" spans="1:36" ht="30" customHeight="1" x14ac:dyDescent="0.3">
      <c r="A34" s="60" t="str">
        <f t="shared" si="0"/>
        <v>Unitil</v>
      </c>
      <c r="B34" s="66" t="s">
        <v>383</v>
      </c>
      <c r="C34" s="66" t="s">
        <v>383</v>
      </c>
      <c r="D34" s="58" t="s">
        <v>404</v>
      </c>
      <c r="E34" s="58" t="s">
        <v>385</v>
      </c>
      <c r="F34" s="58" t="s">
        <v>413</v>
      </c>
      <c r="G34" s="58" t="s">
        <v>385</v>
      </c>
      <c r="H34" s="10" t="s">
        <v>387</v>
      </c>
      <c r="I34" s="58">
        <v>0</v>
      </c>
      <c r="J34" s="58"/>
      <c r="K34" s="66" t="s">
        <v>383</v>
      </c>
      <c r="L34" s="58" t="s">
        <v>383</v>
      </c>
      <c r="M34" s="58" t="s">
        <v>383</v>
      </c>
      <c r="N34" s="65"/>
      <c r="O34" s="58"/>
      <c r="P34" s="58"/>
      <c r="Q34" s="198"/>
      <c r="R34" s="65">
        <v>0</v>
      </c>
      <c r="S34" s="58">
        <v>0</v>
      </c>
      <c r="T34" s="58">
        <v>0</v>
      </c>
      <c r="U34" s="203">
        <v>0</v>
      </c>
      <c r="V34" s="65">
        <v>0</v>
      </c>
      <c r="W34" s="65" t="s">
        <v>383</v>
      </c>
      <c r="X34" s="58" t="s">
        <v>383</v>
      </c>
      <c r="Y34" s="58" t="s">
        <v>383</v>
      </c>
      <c r="Z34" s="58" t="s">
        <v>383</v>
      </c>
      <c r="AA34" s="828"/>
      <c r="AB34" s="69">
        <v>0</v>
      </c>
      <c r="AC34" s="69" t="s">
        <v>383</v>
      </c>
      <c r="AD34" s="65" t="s">
        <v>383</v>
      </c>
      <c r="AE34" s="198" t="s">
        <v>383</v>
      </c>
      <c r="AF34" s="58">
        <v>0</v>
      </c>
      <c r="AG34" s="204" t="s">
        <v>383</v>
      </c>
      <c r="AH34" s="69" t="s">
        <v>383</v>
      </c>
      <c r="AI34" s="69">
        <v>0</v>
      </c>
      <c r="AJ34" s="69" t="s">
        <v>383</v>
      </c>
    </row>
    <row r="35" spans="1:36" ht="30" customHeight="1" x14ac:dyDescent="0.3">
      <c r="A35" s="60" t="str">
        <f t="shared" si="0"/>
        <v>Unitil</v>
      </c>
      <c r="B35" s="66" t="s">
        <v>383</v>
      </c>
      <c r="C35" s="66" t="s">
        <v>383</v>
      </c>
      <c r="D35" s="58" t="s">
        <v>404</v>
      </c>
      <c r="E35" s="58" t="s">
        <v>385</v>
      </c>
      <c r="F35" s="496"/>
      <c r="G35" s="496"/>
      <c r="H35" s="497"/>
      <c r="I35" s="58">
        <v>0</v>
      </c>
      <c r="J35" s="58"/>
      <c r="K35" s="66" t="s">
        <v>383</v>
      </c>
      <c r="L35" s="58" t="s">
        <v>383</v>
      </c>
      <c r="M35" s="58" t="s">
        <v>383</v>
      </c>
      <c r="N35" s="65"/>
      <c r="O35" s="58"/>
      <c r="P35" s="58"/>
      <c r="Q35" s="198"/>
      <c r="R35" s="65">
        <v>0</v>
      </c>
      <c r="S35" s="58">
        <v>0</v>
      </c>
      <c r="T35" s="58">
        <v>0</v>
      </c>
      <c r="U35" s="203">
        <v>0</v>
      </c>
      <c r="V35" s="65">
        <v>0</v>
      </c>
      <c r="W35" s="65" t="s">
        <v>383</v>
      </c>
      <c r="X35" s="58" t="s">
        <v>383</v>
      </c>
      <c r="Y35" s="58" t="s">
        <v>383</v>
      </c>
      <c r="Z35" s="58" t="s">
        <v>383</v>
      </c>
      <c r="AA35" s="828"/>
      <c r="AB35" s="69">
        <v>0</v>
      </c>
      <c r="AC35" s="69" t="s">
        <v>383</v>
      </c>
      <c r="AD35" s="65" t="s">
        <v>383</v>
      </c>
      <c r="AE35" s="198" t="s">
        <v>383</v>
      </c>
      <c r="AF35" s="58">
        <v>0</v>
      </c>
      <c r="AG35" s="204" t="s">
        <v>383</v>
      </c>
      <c r="AH35" s="69" t="s">
        <v>383</v>
      </c>
      <c r="AI35" s="69">
        <v>0</v>
      </c>
      <c r="AJ35" s="69" t="s">
        <v>383</v>
      </c>
    </row>
    <row r="36" spans="1:36" ht="30" customHeight="1" x14ac:dyDescent="0.3">
      <c r="A36" s="60" t="str">
        <f t="shared" si="0"/>
        <v>Unitil</v>
      </c>
      <c r="B36" s="66" t="s">
        <v>383</v>
      </c>
      <c r="C36" s="66" t="s">
        <v>383</v>
      </c>
      <c r="D36" s="58" t="s">
        <v>414</v>
      </c>
      <c r="E36" s="58" t="s">
        <v>385</v>
      </c>
      <c r="F36" s="58" t="s">
        <v>415</v>
      </c>
      <c r="G36" s="58" t="s">
        <v>385</v>
      </c>
      <c r="H36" s="10" t="s">
        <v>387</v>
      </c>
      <c r="I36" s="58">
        <v>1</v>
      </c>
      <c r="J36" s="58"/>
      <c r="K36" s="66" t="s">
        <v>383</v>
      </c>
      <c r="L36" s="58" t="s">
        <v>383</v>
      </c>
      <c r="M36" s="58" t="s">
        <v>383</v>
      </c>
      <c r="N36" s="65"/>
      <c r="O36" s="58"/>
      <c r="P36" s="58"/>
      <c r="Q36" s="198"/>
      <c r="R36" s="65">
        <v>0</v>
      </c>
      <c r="S36" s="58">
        <v>0</v>
      </c>
      <c r="T36" s="58">
        <v>0</v>
      </c>
      <c r="U36" s="203">
        <v>0</v>
      </c>
      <c r="V36" s="65">
        <v>0</v>
      </c>
      <c r="W36" s="65" t="s">
        <v>383</v>
      </c>
      <c r="X36" s="58" t="s">
        <v>383</v>
      </c>
      <c r="Y36" s="58" t="s">
        <v>383</v>
      </c>
      <c r="Z36" s="58" t="s">
        <v>383</v>
      </c>
      <c r="AA36" s="828"/>
      <c r="AB36" s="69">
        <v>0</v>
      </c>
      <c r="AC36" s="69" t="s">
        <v>383</v>
      </c>
      <c r="AD36" s="65" t="s">
        <v>383</v>
      </c>
      <c r="AE36" s="198" t="s">
        <v>383</v>
      </c>
      <c r="AF36" s="58">
        <v>0</v>
      </c>
      <c r="AG36" s="204" t="s">
        <v>383</v>
      </c>
      <c r="AH36" s="69" t="s">
        <v>383</v>
      </c>
      <c r="AI36" s="69">
        <v>0</v>
      </c>
      <c r="AJ36" s="69" t="s">
        <v>383</v>
      </c>
    </row>
    <row r="37" spans="1:36" ht="30" customHeight="1" x14ac:dyDescent="0.3">
      <c r="A37" s="60" t="str">
        <f t="shared" si="0"/>
        <v>Unitil</v>
      </c>
      <c r="B37" s="66" t="s">
        <v>383</v>
      </c>
      <c r="C37" s="66" t="s">
        <v>383</v>
      </c>
      <c r="D37" s="58" t="s">
        <v>414</v>
      </c>
      <c r="E37" s="58" t="s">
        <v>385</v>
      </c>
      <c r="F37" s="58" t="s">
        <v>416</v>
      </c>
      <c r="G37" s="58" t="s">
        <v>385</v>
      </c>
      <c r="H37" s="10" t="s">
        <v>387</v>
      </c>
      <c r="I37" s="58">
        <v>1</v>
      </c>
      <c r="J37" s="58"/>
      <c r="K37" s="66" t="s">
        <v>383</v>
      </c>
      <c r="L37" s="58" t="s">
        <v>383</v>
      </c>
      <c r="M37" s="58" t="s">
        <v>383</v>
      </c>
      <c r="N37" s="65"/>
      <c r="O37" s="58"/>
      <c r="P37" s="58"/>
      <c r="Q37" s="198"/>
      <c r="R37" s="65">
        <v>0</v>
      </c>
      <c r="S37" s="58">
        <v>0</v>
      </c>
      <c r="T37" s="58">
        <v>0</v>
      </c>
      <c r="U37" s="203">
        <v>0</v>
      </c>
      <c r="V37" s="65">
        <v>0</v>
      </c>
      <c r="W37" s="65" t="s">
        <v>383</v>
      </c>
      <c r="X37" s="58" t="s">
        <v>383</v>
      </c>
      <c r="Y37" s="58" t="s">
        <v>383</v>
      </c>
      <c r="Z37" s="58" t="s">
        <v>383</v>
      </c>
      <c r="AA37" s="828"/>
      <c r="AB37" s="69">
        <v>0</v>
      </c>
      <c r="AC37" s="69" t="s">
        <v>383</v>
      </c>
      <c r="AD37" s="65" t="s">
        <v>383</v>
      </c>
      <c r="AE37" s="198" t="s">
        <v>383</v>
      </c>
      <c r="AF37" s="58">
        <v>0</v>
      </c>
      <c r="AG37" s="204" t="s">
        <v>383</v>
      </c>
      <c r="AH37" s="69" t="s">
        <v>383</v>
      </c>
      <c r="AI37" s="69">
        <v>0</v>
      </c>
      <c r="AJ37" s="69" t="s">
        <v>383</v>
      </c>
    </row>
    <row r="38" spans="1:36" ht="30" customHeight="1" x14ac:dyDescent="0.3">
      <c r="A38" s="60" t="str">
        <f t="shared" si="0"/>
        <v>Unitil</v>
      </c>
      <c r="B38" s="66" t="s">
        <v>383</v>
      </c>
      <c r="C38" s="66" t="s">
        <v>383</v>
      </c>
      <c r="D38" s="58" t="s">
        <v>414</v>
      </c>
      <c r="E38" s="58" t="s">
        <v>385</v>
      </c>
      <c r="F38" s="58" t="s">
        <v>417</v>
      </c>
      <c r="G38" s="58" t="s">
        <v>385</v>
      </c>
      <c r="H38" s="10" t="s">
        <v>387</v>
      </c>
      <c r="I38" s="58">
        <v>1</v>
      </c>
      <c r="J38" s="58"/>
      <c r="K38" s="66" t="s">
        <v>383</v>
      </c>
      <c r="L38" s="58" t="s">
        <v>383</v>
      </c>
      <c r="M38" s="58" t="s">
        <v>383</v>
      </c>
      <c r="N38" s="65"/>
      <c r="O38" s="58"/>
      <c r="P38" s="58"/>
      <c r="Q38" s="198"/>
      <c r="R38" s="65">
        <v>0</v>
      </c>
      <c r="S38" s="58">
        <v>0</v>
      </c>
      <c r="T38" s="58">
        <v>0</v>
      </c>
      <c r="U38" s="203">
        <v>0</v>
      </c>
      <c r="V38" s="65">
        <v>0</v>
      </c>
      <c r="W38" s="65" t="s">
        <v>383</v>
      </c>
      <c r="X38" s="58" t="s">
        <v>383</v>
      </c>
      <c r="Y38" s="58" t="s">
        <v>383</v>
      </c>
      <c r="Z38" s="58" t="s">
        <v>383</v>
      </c>
      <c r="AA38" s="828"/>
      <c r="AB38" s="69">
        <v>0</v>
      </c>
      <c r="AC38" s="69" t="s">
        <v>383</v>
      </c>
      <c r="AD38" s="65" t="s">
        <v>383</v>
      </c>
      <c r="AE38" s="198" t="s">
        <v>383</v>
      </c>
      <c r="AF38" s="58">
        <v>0</v>
      </c>
      <c r="AG38" s="204" t="s">
        <v>383</v>
      </c>
      <c r="AH38" s="69" t="s">
        <v>383</v>
      </c>
      <c r="AI38" s="69">
        <v>0</v>
      </c>
      <c r="AJ38" s="69" t="s">
        <v>383</v>
      </c>
    </row>
    <row r="39" spans="1:36" ht="30" customHeight="1" x14ac:dyDescent="0.3">
      <c r="A39" s="60" t="str">
        <f t="shared" si="0"/>
        <v>Unitil</v>
      </c>
      <c r="B39" s="66" t="s">
        <v>383</v>
      </c>
      <c r="C39" s="66" t="s">
        <v>383</v>
      </c>
      <c r="D39" s="58" t="s">
        <v>414</v>
      </c>
      <c r="E39" s="58" t="s">
        <v>385</v>
      </c>
      <c r="F39" s="496"/>
      <c r="G39" s="496"/>
      <c r="H39" s="497"/>
      <c r="I39" s="58">
        <v>2</v>
      </c>
      <c r="J39" s="58"/>
      <c r="K39" s="66" t="s">
        <v>383</v>
      </c>
      <c r="L39" s="58" t="s">
        <v>383</v>
      </c>
      <c r="M39" s="58" t="s">
        <v>383</v>
      </c>
      <c r="N39" s="65"/>
      <c r="O39" s="58"/>
      <c r="P39" s="58"/>
      <c r="Q39" s="198"/>
      <c r="R39" s="65">
        <v>0</v>
      </c>
      <c r="S39" s="58">
        <v>0</v>
      </c>
      <c r="T39" s="58">
        <v>1</v>
      </c>
      <c r="U39" s="203">
        <v>0</v>
      </c>
      <c r="V39" s="65">
        <v>0</v>
      </c>
      <c r="W39" s="65" t="s">
        <v>383</v>
      </c>
      <c r="X39" s="58" t="s">
        <v>383</v>
      </c>
      <c r="Y39" s="58" t="s">
        <v>383</v>
      </c>
      <c r="Z39" s="58" t="s">
        <v>383</v>
      </c>
      <c r="AA39" s="828"/>
      <c r="AB39" s="69">
        <v>0</v>
      </c>
      <c r="AC39" s="69" t="s">
        <v>383</v>
      </c>
      <c r="AD39" s="65" t="s">
        <v>383</v>
      </c>
      <c r="AE39" s="198" t="s">
        <v>383</v>
      </c>
      <c r="AF39" s="58">
        <v>0</v>
      </c>
      <c r="AG39" s="204" t="s">
        <v>383</v>
      </c>
      <c r="AH39" s="69" t="s">
        <v>383</v>
      </c>
      <c r="AI39" s="69">
        <v>0</v>
      </c>
      <c r="AJ39" s="69" t="s">
        <v>383</v>
      </c>
    </row>
    <row r="40" spans="1:36" ht="30" customHeight="1" x14ac:dyDescent="0.3">
      <c r="A40" s="60" t="str">
        <f t="shared" si="0"/>
        <v>Unitil</v>
      </c>
      <c r="B40" s="66" t="s">
        <v>383</v>
      </c>
      <c r="C40" s="66" t="s">
        <v>383</v>
      </c>
      <c r="D40" s="58" t="s">
        <v>418</v>
      </c>
      <c r="E40" s="58" t="s">
        <v>418</v>
      </c>
      <c r="F40" s="58" t="s">
        <v>419</v>
      </c>
      <c r="G40" s="58" t="s">
        <v>418</v>
      </c>
      <c r="H40" s="10" t="s">
        <v>387</v>
      </c>
      <c r="I40" s="58">
        <v>0</v>
      </c>
      <c r="J40" s="58"/>
      <c r="K40" s="66" t="s">
        <v>383</v>
      </c>
      <c r="L40" s="58" t="s">
        <v>383</v>
      </c>
      <c r="M40" s="58" t="s">
        <v>383</v>
      </c>
      <c r="N40" s="65"/>
      <c r="O40" s="58"/>
      <c r="P40" s="58"/>
      <c r="Q40" s="198"/>
      <c r="R40" s="65">
        <v>9</v>
      </c>
      <c r="S40" s="58">
        <v>2</v>
      </c>
      <c r="T40" s="58">
        <v>0</v>
      </c>
      <c r="U40" s="203">
        <v>10</v>
      </c>
      <c r="V40" s="65">
        <v>0</v>
      </c>
      <c r="W40" s="65" t="s">
        <v>383</v>
      </c>
      <c r="X40" s="58" t="s">
        <v>383</v>
      </c>
      <c r="Y40" s="58" t="s">
        <v>383</v>
      </c>
      <c r="Z40" s="58" t="s">
        <v>383</v>
      </c>
      <c r="AA40" s="828"/>
      <c r="AB40" s="69">
        <v>0</v>
      </c>
      <c r="AC40" s="69" t="s">
        <v>383</v>
      </c>
      <c r="AD40" s="65" t="s">
        <v>383</v>
      </c>
      <c r="AE40" s="198" t="s">
        <v>383</v>
      </c>
      <c r="AF40" s="58">
        <v>0</v>
      </c>
      <c r="AG40" s="204" t="s">
        <v>383</v>
      </c>
      <c r="AH40" s="69" t="s">
        <v>383</v>
      </c>
      <c r="AI40" s="69">
        <v>0</v>
      </c>
      <c r="AJ40" s="69" t="s">
        <v>383</v>
      </c>
    </row>
    <row r="41" spans="1:36" ht="30" customHeight="1" x14ac:dyDescent="0.3">
      <c r="A41" s="60" t="str">
        <f t="shared" si="0"/>
        <v>Unitil</v>
      </c>
      <c r="B41" s="66" t="s">
        <v>383</v>
      </c>
      <c r="C41" s="66" t="s">
        <v>383</v>
      </c>
      <c r="D41" s="58" t="s">
        <v>418</v>
      </c>
      <c r="E41" s="58" t="s">
        <v>418</v>
      </c>
      <c r="F41" s="58" t="s">
        <v>420</v>
      </c>
      <c r="G41" s="58" t="s">
        <v>421</v>
      </c>
      <c r="H41" s="10" t="s">
        <v>387</v>
      </c>
      <c r="I41" s="58">
        <v>0</v>
      </c>
      <c r="J41" s="58"/>
      <c r="K41" s="66" t="s">
        <v>383</v>
      </c>
      <c r="L41" s="58" t="s">
        <v>383</v>
      </c>
      <c r="M41" s="58" t="s">
        <v>383</v>
      </c>
      <c r="N41" s="65"/>
      <c r="O41" s="58"/>
      <c r="P41" s="58"/>
      <c r="Q41" s="198"/>
      <c r="R41" s="65">
        <v>10</v>
      </c>
      <c r="S41" s="58">
        <v>2</v>
      </c>
      <c r="T41" s="58">
        <v>0</v>
      </c>
      <c r="U41" s="203">
        <v>12</v>
      </c>
      <c r="V41" s="65">
        <v>0</v>
      </c>
      <c r="W41" s="65" t="s">
        <v>383</v>
      </c>
      <c r="X41" s="58" t="s">
        <v>383</v>
      </c>
      <c r="Y41" s="58" t="s">
        <v>383</v>
      </c>
      <c r="Z41" s="58" t="s">
        <v>383</v>
      </c>
      <c r="AA41" s="828"/>
      <c r="AB41" s="69">
        <v>0</v>
      </c>
      <c r="AC41" s="69" t="s">
        <v>383</v>
      </c>
      <c r="AD41" s="65" t="s">
        <v>383</v>
      </c>
      <c r="AE41" s="198" t="s">
        <v>383</v>
      </c>
      <c r="AF41" s="58">
        <v>0</v>
      </c>
      <c r="AG41" s="204" t="s">
        <v>383</v>
      </c>
      <c r="AH41" s="69" t="s">
        <v>383</v>
      </c>
      <c r="AI41" s="69">
        <v>0</v>
      </c>
      <c r="AJ41" s="69" t="s">
        <v>383</v>
      </c>
    </row>
    <row r="42" spans="1:36" ht="30" customHeight="1" x14ac:dyDescent="0.3">
      <c r="A42" s="60" t="str">
        <f t="shared" si="0"/>
        <v>Unitil</v>
      </c>
      <c r="B42" s="66" t="s">
        <v>383</v>
      </c>
      <c r="C42" s="66" t="s">
        <v>383</v>
      </c>
      <c r="D42" s="58" t="s">
        <v>418</v>
      </c>
      <c r="E42" s="58" t="s">
        <v>418</v>
      </c>
      <c r="F42" s="496"/>
      <c r="G42" s="496"/>
      <c r="H42" s="497"/>
      <c r="I42" s="58">
        <v>0</v>
      </c>
      <c r="J42" s="58"/>
      <c r="K42" s="66" t="s">
        <v>383</v>
      </c>
      <c r="L42" s="58" t="s">
        <v>383</v>
      </c>
      <c r="M42" s="58" t="s">
        <v>383</v>
      </c>
      <c r="N42" s="65"/>
      <c r="O42" s="58"/>
      <c r="P42" s="58"/>
      <c r="Q42" s="198"/>
      <c r="R42" s="65">
        <v>0</v>
      </c>
      <c r="S42" s="58">
        <v>1</v>
      </c>
      <c r="T42" s="58">
        <v>0</v>
      </c>
      <c r="U42" s="203">
        <v>0</v>
      </c>
      <c r="V42" s="65">
        <v>0</v>
      </c>
      <c r="W42" s="65" t="s">
        <v>383</v>
      </c>
      <c r="X42" s="58" t="s">
        <v>383</v>
      </c>
      <c r="Y42" s="58" t="s">
        <v>383</v>
      </c>
      <c r="Z42" s="58" t="s">
        <v>383</v>
      </c>
      <c r="AA42" s="828"/>
      <c r="AB42" s="69">
        <v>0</v>
      </c>
      <c r="AC42" s="69" t="s">
        <v>383</v>
      </c>
      <c r="AD42" s="65" t="s">
        <v>383</v>
      </c>
      <c r="AE42" s="198" t="s">
        <v>383</v>
      </c>
      <c r="AF42" s="58">
        <v>0</v>
      </c>
      <c r="AG42" s="204" t="s">
        <v>383</v>
      </c>
      <c r="AH42" s="69" t="s">
        <v>383</v>
      </c>
      <c r="AI42" s="69">
        <v>0</v>
      </c>
      <c r="AJ42" s="69" t="s">
        <v>383</v>
      </c>
    </row>
    <row r="43" spans="1:36" ht="30" customHeight="1" x14ac:dyDescent="0.3">
      <c r="A43" s="60" t="str">
        <f t="shared" si="0"/>
        <v>Unitil</v>
      </c>
      <c r="B43" s="66" t="s">
        <v>383</v>
      </c>
      <c r="C43" s="66" t="s">
        <v>383</v>
      </c>
      <c r="D43" s="58" t="s">
        <v>422</v>
      </c>
      <c r="E43" s="58" t="s">
        <v>418</v>
      </c>
      <c r="F43" s="58" t="s">
        <v>423</v>
      </c>
      <c r="G43" s="58" t="s">
        <v>424</v>
      </c>
      <c r="H43" s="10" t="s">
        <v>387</v>
      </c>
      <c r="I43" s="58">
        <v>0</v>
      </c>
      <c r="J43" s="58"/>
      <c r="K43" s="66" t="s">
        <v>383</v>
      </c>
      <c r="L43" s="58" t="s">
        <v>383</v>
      </c>
      <c r="M43" s="58" t="s">
        <v>383</v>
      </c>
      <c r="N43" s="65"/>
      <c r="O43" s="58"/>
      <c r="P43" s="58"/>
      <c r="Q43" s="198"/>
      <c r="R43" s="65">
        <v>0</v>
      </c>
      <c r="S43" s="58">
        <v>0</v>
      </c>
      <c r="T43" s="58">
        <v>0</v>
      </c>
      <c r="U43" s="203">
        <v>0</v>
      </c>
      <c r="V43" s="65">
        <v>0</v>
      </c>
      <c r="W43" s="65" t="s">
        <v>383</v>
      </c>
      <c r="X43" s="58" t="s">
        <v>383</v>
      </c>
      <c r="Y43" s="58" t="s">
        <v>383</v>
      </c>
      <c r="Z43" s="58" t="s">
        <v>383</v>
      </c>
      <c r="AA43" s="828"/>
      <c r="AB43" s="69">
        <v>0</v>
      </c>
      <c r="AC43" s="69" t="s">
        <v>383</v>
      </c>
      <c r="AD43" s="65" t="s">
        <v>383</v>
      </c>
      <c r="AE43" s="198" t="s">
        <v>383</v>
      </c>
      <c r="AF43" s="58">
        <v>0</v>
      </c>
      <c r="AG43" s="204" t="s">
        <v>383</v>
      </c>
      <c r="AH43" s="69" t="s">
        <v>383</v>
      </c>
      <c r="AI43" s="69">
        <v>0</v>
      </c>
      <c r="AJ43" s="69" t="s">
        <v>383</v>
      </c>
    </row>
    <row r="44" spans="1:36" ht="30" customHeight="1" x14ac:dyDescent="0.3">
      <c r="A44" s="60" t="str">
        <f t="shared" si="0"/>
        <v>Unitil</v>
      </c>
      <c r="B44" s="66" t="s">
        <v>383</v>
      </c>
      <c r="C44" s="66" t="s">
        <v>383</v>
      </c>
      <c r="D44" s="58" t="s">
        <v>422</v>
      </c>
      <c r="E44" s="58" t="s">
        <v>418</v>
      </c>
      <c r="F44" s="58" t="s">
        <v>425</v>
      </c>
      <c r="G44" s="58" t="s">
        <v>424</v>
      </c>
      <c r="H44" s="10" t="s">
        <v>387</v>
      </c>
      <c r="I44" s="58">
        <v>0</v>
      </c>
      <c r="J44" s="58"/>
      <c r="K44" s="66" t="s">
        <v>383</v>
      </c>
      <c r="L44" s="58" t="s">
        <v>383</v>
      </c>
      <c r="M44" s="58" t="s">
        <v>383</v>
      </c>
      <c r="N44" s="65"/>
      <c r="O44" s="58"/>
      <c r="P44" s="58"/>
      <c r="Q44" s="198"/>
      <c r="R44" s="65">
        <v>0</v>
      </c>
      <c r="S44" s="58">
        <v>0</v>
      </c>
      <c r="T44" s="58">
        <v>0</v>
      </c>
      <c r="U44" s="203">
        <v>0</v>
      </c>
      <c r="V44" s="65">
        <v>0</v>
      </c>
      <c r="W44" s="65" t="s">
        <v>383</v>
      </c>
      <c r="X44" s="58" t="s">
        <v>383</v>
      </c>
      <c r="Y44" s="58" t="s">
        <v>383</v>
      </c>
      <c r="Z44" s="58" t="s">
        <v>383</v>
      </c>
      <c r="AA44" s="828"/>
      <c r="AB44" s="69">
        <v>0</v>
      </c>
      <c r="AC44" s="69" t="s">
        <v>383</v>
      </c>
      <c r="AD44" s="65" t="s">
        <v>383</v>
      </c>
      <c r="AE44" s="198" t="s">
        <v>383</v>
      </c>
      <c r="AF44" s="58">
        <v>0</v>
      </c>
      <c r="AG44" s="204" t="s">
        <v>383</v>
      </c>
      <c r="AH44" s="69" t="s">
        <v>383</v>
      </c>
      <c r="AI44" s="69">
        <v>0</v>
      </c>
      <c r="AJ44" s="69" t="s">
        <v>383</v>
      </c>
    </row>
    <row r="45" spans="1:36" ht="30" customHeight="1" x14ac:dyDescent="0.3">
      <c r="A45" s="60" t="str">
        <f t="shared" si="0"/>
        <v>Unitil</v>
      </c>
      <c r="B45" s="66" t="s">
        <v>383</v>
      </c>
      <c r="C45" s="66" t="s">
        <v>383</v>
      </c>
      <c r="D45" s="58" t="s">
        <v>422</v>
      </c>
      <c r="E45" s="58" t="s">
        <v>418</v>
      </c>
      <c r="F45" s="58" t="s">
        <v>426</v>
      </c>
      <c r="G45" s="58" t="s">
        <v>418</v>
      </c>
      <c r="H45" s="10" t="s">
        <v>387</v>
      </c>
      <c r="I45" s="58">
        <v>0</v>
      </c>
      <c r="J45" s="58"/>
      <c r="K45" s="66" t="s">
        <v>383</v>
      </c>
      <c r="L45" s="58" t="s">
        <v>383</v>
      </c>
      <c r="M45" s="58" t="s">
        <v>383</v>
      </c>
      <c r="N45" s="65"/>
      <c r="O45" s="58"/>
      <c r="P45" s="58"/>
      <c r="Q45" s="198"/>
      <c r="R45" s="65">
        <v>0</v>
      </c>
      <c r="S45" s="58">
        <v>0</v>
      </c>
      <c r="T45" s="58">
        <v>0</v>
      </c>
      <c r="U45" s="203">
        <v>0</v>
      </c>
      <c r="V45" s="65">
        <v>0</v>
      </c>
      <c r="W45" s="65" t="s">
        <v>383</v>
      </c>
      <c r="X45" s="58" t="s">
        <v>383</v>
      </c>
      <c r="Y45" s="58" t="s">
        <v>383</v>
      </c>
      <c r="Z45" s="58" t="s">
        <v>383</v>
      </c>
      <c r="AA45" s="828"/>
      <c r="AB45" s="69">
        <v>0</v>
      </c>
      <c r="AC45" s="69" t="s">
        <v>383</v>
      </c>
      <c r="AD45" s="65" t="s">
        <v>383</v>
      </c>
      <c r="AE45" s="198" t="s">
        <v>383</v>
      </c>
      <c r="AF45" s="58">
        <v>0</v>
      </c>
      <c r="AG45" s="204" t="s">
        <v>383</v>
      </c>
      <c r="AH45" s="69" t="s">
        <v>383</v>
      </c>
      <c r="AI45" s="69">
        <v>0</v>
      </c>
      <c r="AJ45" s="69" t="s">
        <v>383</v>
      </c>
    </row>
    <row r="46" spans="1:36" ht="30" customHeight="1" x14ac:dyDescent="0.3">
      <c r="A46" s="60" t="str">
        <f t="shared" si="0"/>
        <v>Unitil</v>
      </c>
      <c r="B46" s="66" t="s">
        <v>383</v>
      </c>
      <c r="C46" s="66" t="s">
        <v>383</v>
      </c>
      <c r="D46" s="58" t="s">
        <v>422</v>
      </c>
      <c r="E46" s="58" t="s">
        <v>418</v>
      </c>
      <c r="F46" s="496"/>
      <c r="G46" s="496"/>
      <c r="H46" s="497"/>
      <c r="I46" s="58">
        <v>0</v>
      </c>
      <c r="J46" s="58"/>
      <c r="K46" s="66" t="s">
        <v>383</v>
      </c>
      <c r="L46" s="58" t="s">
        <v>383</v>
      </c>
      <c r="M46" s="58" t="s">
        <v>383</v>
      </c>
      <c r="N46" s="65"/>
      <c r="O46" s="58"/>
      <c r="P46" s="58"/>
      <c r="Q46" s="198"/>
      <c r="R46" s="65">
        <v>0</v>
      </c>
      <c r="S46" s="58">
        <v>0</v>
      </c>
      <c r="T46" s="58">
        <v>0</v>
      </c>
      <c r="U46" s="203">
        <v>0</v>
      </c>
      <c r="V46" s="65">
        <v>0</v>
      </c>
      <c r="W46" s="65" t="s">
        <v>383</v>
      </c>
      <c r="X46" s="58" t="s">
        <v>383</v>
      </c>
      <c r="Y46" s="58" t="s">
        <v>383</v>
      </c>
      <c r="Z46" s="58" t="s">
        <v>383</v>
      </c>
      <c r="AA46" s="828"/>
      <c r="AB46" s="69">
        <v>0</v>
      </c>
      <c r="AC46" s="69" t="s">
        <v>383</v>
      </c>
      <c r="AD46" s="65" t="s">
        <v>383</v>
      </c>
      <c r="AE46" s="198" t="s">
        <v>383</v>
      </c>
      <c r="AF46" s="58">
        <v>0</v>
      </c>
      <c r="AG46" s="204" t="s">
        <v>383</v>
      </c>
      <c r="AH46" s="69" t="s">
        <v>383</v>
      </c>
      <c r="AI46" s="69">
        <v>0</v>
      </c>
      <c r="AJ46" s="69" t="s">
        <v>383</v>
      </c>
    </row>
    <row r="47" spans="1:36" ht="30" customHeight="1" x14ac:dyDescent="0.3">
      <c r="A47" s="60" t="str">
        <f t="shared" si="0"/>
        <v>Unitil</v>
      </c>
      <c r="B47" s="66" t="s">
        <v>383</v>
      </c>
      <c r="C47" s="66" t="s">
        <v>383</v>
      </c>
      <c r="D47" s="58" t="s">
        <v>427</v>
      </c>
      <c r="E47" s="58" t="s">
        <v>385</v>
      </c>
      <c r="F47" s="58" t="s">
        <v>428</v>
      </c>
      <c r="G47" s="58" t="s">
        <v>429</v>
      </c>
      <c r="H47" s="10" t="s">
        <v>387</v>
      </c>
      <c r="I47" s="58">
        <v>0</v>
      </c>
      <c r="J47" s="58"/>
      <c r="K47" s="66" t="s">
        <v>383</v>
      </c>
      <c r="L47" s="58" t="s">
        <v>383</v>
      </c>
      <c r="M47" s="58" t="s">
        <v>383</v>
      </c>
      <c r="N47" s="65"/>
      <c r="O47" s="58"/>
      <c r="P47" s="58"/>
      <c r="Q47" s="198"/>
      <c r="R47" s="65">
        <v>0</v>
      </c>
      <c r="S47" s="58">
        <v>0</v>
      </c>
      <c r="T47" s="58">
        <v>0</v>
      </c>
      <c r="U47" s="203">
        <v>0</v>
      </c>
      <c r="V47" s="65">
        <v>0</v>
      </c>
      <c r="W47" s="65" t="s">
        <v>383</v>
      </c>
      <c r="X47" s="58" t="s">
        <v>383</v>
      </c>
      <c r="Y47" s="58" t="s">
        <v>383</v>
      </c>
      <c r="Z47" s="58" t="s">
        <v>383</v>
      </c>
      <c r="AA47" s="828"/>
      <c r="AB47" s="69">
        <v>0</v>
      </c>
      <c r="AC47" s="69" t="s">
        <v>383</v>
      </c>
      <c r="AD47" s="65" t="s">
        <v>383</v>
      </c>
      <c r="AE47" s="198" t="s">
        <v>383</v>
      </c>
      <c r="AF47" s="58">
        <v>0</v>
      </c>
      <c r="AG47" s="204" t="s">
        <v>383</v>
      </c>
      <c r="AH47" s="69" t="s">
        <v>383</v>
      </c>
      <c r="AI47" s="69">
        <v>0</v>
      </c>
      <c r="AJ47" s="69" t="s">
        <v>383</v>
      </c>
    </row>
    <row r="48" spans="1:36" ht="30" customHeight="1" x14ac:dyDescent="0.3">
      <c r="A48" s="60" t="str">
        <f t="shared" si="0"/>
        <v>Unitil</v>
      </c>
      <c r="B48" s="66" t="s">
        <v>383</v>
      </c>
      <c r="C48" s="66" t="s">
        <v>383</v>
      </c>
      <c r="D48" s="58" t="s">
        <v>427</v>
      </c>
      <c r="E48" s="58" t="s">
        <v>385</v>
      </c>
      <c r="F48" s="496"/>
      <c r="G48" s="496"/>
      <c r="H48" s="497"/>
      <c r="I48" s="58">
        <v>0</v>
      </c>
      <c r="J48" s="58"/>
      <c r="K48" s="66" t="s">
        <v>383</v>
      </c>
      <c r="L48" s="58" t="s">
        <v>383</v>
      </c>
      <c r="M48" s="58" t="s">
        <v>383</v>
      </c>
      <c r="N48" s="65"/>
      <c r="O48" s="58"/>
      <c r="P48" s="58"/>
      <c r="Q48" s="198"/>
      <c r="R48" s="65">
        <v>0</v>
      </c>
      <c r="S48" s="58">
        <v>0</v>
      </c>
      <c r="T48" s="58">
        <v>0</v>
      </c>
      <c r="U48" s="203">
        <v>0</v>
      </c>
      <c r="V48" s="65">
        <v>0</v>
      </c>
      <c r="W48" s="65" t="s">
        <v>383</v>
      </c>
      <c r="X48" s="58" t="s">
        <v>383</v>
      </c>
      <c r="Y48" s="58" t="s">
        <v>383</v>
      </c>
      <c r="Z48" s="58" t="s">
        <v>383</v>
      </c>
      <c r="AA48" s="828"/>
      <c r="AB48" s="69">
        <v>0</v>
      </c>
      <c r="AC48" s="69" t="s">
        <v>383</v>
      </c>
      <c r="AD48" s="65" t="s">
        <v>383</v>
      </c>
      <c r="AE48" s="198" t="s">
        <v>383</v>
      </c>
      <c r="AF48" s="58">
        <v>0</v>
      </c>
      <c r="AG48" s="204" t="s">
        <v>383</v>
      </c>
      <c r="AH48" s="69" t="s">
        <v>383</v>
      </c>
      <c r="AI48" s="69">
        <v>0</v>
      </c>
      <c r="AJ48" s="69" t="s">
        <v>383</v>
      </c>
    </row>
    <row r="49" spans="1:36" ht="30" customHeight="1" x14ac:dyDescent="0.3">
      <c r="A49" s="60" t="str">
        <f t="shared" si="0"/>
        <v>Unitil</v>
      </c>
      <c r="B49" s="66" t="s">
        <v>383</v>
      </c>
      <c r="C49" s="66" t="s">
        <v>383</v>
      </c>
      <c r="D49" s="58" t="s">
        <v>430</v>
      </c>
      <c r="E49" s="58" t="s">
        <v>395</v>
      </c>
      <c r="F49" s="58" t="s">
        <v>431</v>
      </c>
      <c r="G49" s="58" t="s">
        <v>399</v>
      </c>
      <c r="H49" s="10" t="s">
        <v>387</v>
      </c>
      <c r="I49" s="58">
        <v>0</v>
      </c>
      <c r="J49" s="58"/>
      <c r="K49" s="66" t="s">
        <v>383</v>
      </c>
      <c r="L49" s="58" t="s">
        <v>383</v>
      </c>
      <c r="M49" s="58" t="s">
        <v>383</v>
      </c>
      <c r="N49" s="65"/>
      <c r="O49" s="58"/>
      <c r="P49" s="58"/>
      <c r="Q49" s="198"/>
      <c r="R49" s="65">
        <v>0</v>
      </c>
      <c r="S49" s="58">
        <v>0</v>
      </c>
      <c r="T49" s="58">
        <v>0</v>
      </c>
      <c r="U49" s="203">
        <v>0</v>
      </c>
      <c r="V49" s="65">
        <v>0</v>
      </c>
      <c r="W49" s="65" t="s">
        <v>383</v>
      </c>
      <c r="X49" s="58" t="s">
        <v>383</v>
      </c>
      <c r="Y49" s="58" t="s">
        <v>383</v>
      </c>
      <c r="Z49" s="58" t="s">
        <v>383</v>
      </c>
      <c r="AA49" s="828"/>
      <c r="AB49" s="69">
        <v>0</v>
      </c>
      <c r="AC49" s="69" t="s">
        <v>383</v>
      </c>
      <c r="AD49" s="65" t="s">
        <v>383</v>
      </c>
      <c r="AE49" s="198" t="s">
        <v>383</v>
      </c>
      <c r="AF49" s="58">
        <v>0</v>
      </c>
      <c r="AG49" s="204" t="s">
        <v>383</v>
      </c>
      <c r="AH49" s="69" t="s">
        <v>383</v>
      </c>
      <c r="AI49" s="69">
        <v>0</v>
      </c>
      <c r="AJ49" s="69" t="s">
        <v>383</v>
      </c>
    </row>
    <row r="50" spans="1:36" ht="30" customHeight="1" x14ac:dyDescent="0.3">
      <c r="A50" s="60" t="str">
        <f t="shared" si="0"/>
        <v>Unitil</v>
      </c>
      <c r="B50" s="66" t="s">
        <v>383</v>
      </c>
      <c r="C50" s="66" t="s">
        <v>383</v>
      </c>
      <c r="D50" s="58" t="s">
        <v>430</v>
      </c>
      <c r="E50" s="58" t="s">
        <v>395</v>
      </c>
      <c r="F50" s="58" t="s">
        <v>432</v>
      </c>
      <c r="G50" s="58" t="s">
        <v>433</v>
      </c>
      <c r="H50" s="10" t="s">
        <v>387</v>
      </c>
      <c r="I50" s="58">
        <v>0</v>
      </c>
      <c r="J50" s="58"/>
      <c r="K50" s="66" t="s">
        <v>383</v>
      </c>
      <c r="L50" s="58" t="s">
        <v>383</v>
      </c>
      <c r="M50" s="58" t="s">
        <v>383</v>
      </c>
      <c r="N50" s="65"/>
      <c r="O50" s="58"/>
      <c r="P50" s="58"/>
      <c r="Q50" s="198"/>
      <c r="R50" s="65">
        <v>0</v>
      </c>
      <c r="S50" s="58">
        <v>0</v>
      </c>
      <c r="T50" s="58">
        <v>0</v>
      </c>
      <c r="U50" s="203">
        <v>0</v>
      </c>
      <c r="V50" s="65">
        <v>0</v>
      </c>
      <c r="W50" s="65" t="s">
        <v>383</v>
      </c>
      <c r="X50" s="58" t="s">
        <v>383</v>
      </c>
      <c r="Y50" s="58" t="s">
        <v>383</v>
      </c>
      <c r="Z50" s="58" t="s">
        <v>383</v>
      </c>
      <c r="AA50" s="828"/>
      <c r="AB50" s="69">
        <v>0</v>
      </c>
      <c r="AC50" s="69" t="s">
        <v>383</v>
      </c>
      <c r="AD50" s="65" t="s">
        <v>383</v>
      </c>
      <c r="AE50" s="198" t="s">
        <v>383</v>
      </c>
      <c r="AF50" s="58">
        <v>0</v>
      </c>
      <c r="AG50" s="204" t="s">
        <v>383</v>
      </c>
      <c r="AH50" s="69" t="s">
        <v>383</v>
      </c>
      <c r="AI50" s="69">
        <v>0</v>
      </c>
      <c r="AJ50" s="69" t="s">
        <v>383</v>
      </c>
    </row>
    <row r="51" spans="1:36" ht="30" customHeight="1" x14ac:dyDescent="0.3">
      <c r="A51" s="60" t="str">
        <f t="shared" si="0"/>
        <v>Unitil</v>
      </c>
      <c r="B51" s="66" t="s">
        <v>383</v>
      </c>
      <c r="C51" s="66" t="s">
        <v>383</v>
      </c>
      <c r="D51" s="58" t="s">
        <v>430</v>
      </c>
      <c r="E51" s="58" t="s">
        <v>395</v>
      </c>
      <c r="F51" s="496"/>
      <c r="G51" s="496"/>
      <c r="H51" s="497"/>
      <c r="I51" s="58">
        <v>0</v>
      </c>
      <c r="J51" s="58"/>
      <c r="K51" s="66" t="s">
        <v>383</v>
      </c>
      <c r="L51" s="58" t="s">
        <v>383</v>
      </c>
      <c r="M51" s="58" t="s">
        <v>383</v>
      </c>
      <c r="N51" s="65"/>
      <c r="O51" s="58"/>
      <c r="P51" s="58"/>
      <c r="Q51" s="198"/>
      <c r="R51" s="65">
        <v>0</v>
      </c>
      <c r="S51" s="58">
        <v>0</v>
      </c>
      <c r="T51" s="58">
        <v>0</v>
      </c>
      <c r="U51" s="203">
        <v>0</v>
      </c>
      <c r="V51" s="65">
        <v>0</v>
      </c>
      <c r="W51" s="65" t="s">
        <v>383</v>
      </c>
      <c r="X51" s="58" t="s">
        <v>383</v>
      </c>
      <c r="Y51" s="58" t="s">
        <v>383</v>
      </c>
      <c r="Z51" s="58" t="s">
        <v>383</v>
      </c>
      <c r="AA51" s="828"/>
      <c r="AB51" s="69">
        <v>0</v>
      </c>
      <c r="AC51" s="69" t="s">
        <v>383</v>
      </c>
      <c r="AD51" s="65" t="s">
        <v>383</v>
      </c>
      <c r="AE51" s="198" t="s">
        <v>383</v>
      </c>
      <c r="AF51" s="58">
        <v>0</v>
      </c>
      <c r="AG51" s="204" t="s">
        <v>383</v>
      </c>
      <c r="AH51" s="69" t="s">
        <v>383</v>
      </c>
      <c r="AI51" s="69">
        <v>0</v>
      </c>
      <c r="AJ51" s="69" t="s">
        <v>383</v>
      </c>
    </row>
    <row r="52" spans="1:36" ht="30" customHeight="1" x14ac:dyDescent="0.3">
      <c r="A52" s="60" t="str">
        <f t="shared" si="0"/>
        <v>Unitil</v>
      </c>
      <c r="B52" s="66" t="s">
        <v>383</v>
      </c>
      <c r="C52" s="66" t="s">
        <v>383</v>
      </c>
      <c r="D52" s="58" t="s">
        <v>434</v>
      </c>
      <c r="E52" s="58" t="s">
        <v>385</v>
      </c>
      <c r="F52" s="58" t="s">
        <v>435</v>
      </c>
      <c r="G52" s="58" t="s">
        <v>385</v>
      </c>
      <c r="H52" s="10" t="s">
        <v>387</v>
      </c>
      <c r="I52" s="58">
        <v>0</v>
      </c>
      <c r="J52" s="58"/>
      <c r="K52" s="66" t="s">
        <v>383</v>
      </c>
      <c r="L52" s="58" t="s">
        <v>383</v>
      </c>
      <c r="M52" s="58" t="s">
        <v>383</v>
      </c>
      <c r="N52" s="65"/>
      <c r="O52" s="58"/>
      <c r="P52" s="58"/>
      <c r="Q52" s="198"/>
      <c r="R52" s="65">
        <v>0</v>
      </c>
      <c r="S52" s="58">
        <v>0</v>
      </c>
      <c r="T52" s="58">
        <v>0</v>
      </c>
      <c r="U52" s="203">
        <v>0</v>
      </c>
      <c r="V52" s="65">
        <v>1</v>
      </c>
      <c r="W52" s="65" t="s">
        <v>383</v>
      </c>
      <c r="X52" s="58" t="s">
        <v>383</v>
      </c>
      <c r="Y52" s="58" t="s">
        <v>383</v>
      </c>
      <c r="Z52" s="58" t="s">
        <v>383</v>
      </c>
      <c r="AA52" s="828"/>
      <c r="AB52" s="69">
        <v>0</v>
      </c>
      <c r="AC52" s="69" t="s">
        <v>383</v>
      </c>
      <c r="AD52" s="65" t="s">
        <v>383</v>
      </c>
      <c r="AE52" s="198" t="s">
        <v>383</v>
      </c>
      <c r="AF52" s="58">
        <v>0</v>
      </c>
      <c r="AG52" s="204" t="s">
        <v>383</v>
      </c>
      <c r="AH52" s="69" t="s">
        <v>383</v>
      </c>
      <c r="AI52" s="69">
        <v>0</v>
      </c>
      <c r="AJ52" s="69" t="s">
        <v>383</v>
      </c>
    </row>
    <row r="53" spans="1:36" ht="30" customHeight="1" x14ac:dyDescent="0.3">
      <c r="A53" s="60" t="str">
        <f t="shared" si="0"/>
        <v>Unitil</v>
      </c>
      <c r="B53" s="66" t="s">
        <v>383</v>
      </c>
      <c r="C53" s="66" t="s">
        <v>383</v>
      </c>
      <c r="D53" s="58" t="s">
        <v>434</v>
      </c>
      <c r="E53" s="58" t="s">
        <v>385</v>
      </c>
      <c r="F53" s="58" t="s">
        <v>436</v>
      </c>
      <c r="G53" s="58" t="s">
        <v>385</v>
      </c>
      <c r="H53" s="10" t="s">
        <v>387</v>
      </c>
      <c r="I53" s="58">
        <v>0</v>
      </c>
      <c r="J53" s="58"/>
      <c r="K53" s="66" t="s">
        <v>383</v>
      </c>
      <c r="L53" s="58" t="s">
        <v>383</v>
      </c>
      <c r="M53" s="58" t="s">
        <v>383</v>
      </c>
      <c r="N53" s="65"/>
      <c r="O53" s="58"/>
      <c r="P53" s="58"/>
      <c r="Q53" s="198"/>
      <c r="R53" s="65">
        <v>0</v>
      </c>
      <c r="S53" s="58">
        <v>0</v>
      </c>
      <c r="T53" s="58">
        <v>0</v>
      </c>
      <c r="U53" s="203">
        <v>0</v>
      </c>
      <c r="V53" s="65">
        <v>1</v>
      </c>
      <c r="W53" s="65" t="s">
        <v>383</v>
      </c>
      <c r="X53" s="58" t="s">
        <v>383</v>
      </c>
      <c r="Y53" s="58" t="s">
        <v>383</v>
      </c>
      <c r="Z53" s="58" t="s">
        <v>383</v>
      </c>
      <c r="AA53" s="828"/>
      <c r="AB53" s="69">
        <v>0</v>
      </c>
      <c r="AC53" s="69" t="s">
        <v>383</v>
      </c>
      <c r="AD53" s="65" t="s">
        <v>383</v>
      </c>
      <c r="AE53" s="198" t="s">
        <v>383</v>
      </c>
      <c r="AF53" s="58">
        <v>0</v>
      </c>
      <c r="AG53" s="204" t="s">
        <v>383</v>
      </c>
      <c r="AH53" s="69" t="s">
        <v>383</v>
      </c>
      <c r="AI53" s="69">
        <v>0</v>
      </c>
      <c r="AJ53" s="69" t="s">
        <v>383</v>
      </c>
    </row>
    <row r="54" spans="1:36" ht="30" customHeight="1" x14ac:dyDescent="0.3">
      <c r="A54" s="60" t="str">
        <f t="shared" si="0"/>
        <v>Unitil</v>
      </c>
      <c r="B54" s="66" t="s">
        <v>383</v>
      </c>
      <c r="C54" s="66" t="s">
        <v>383</v>
      </c>
      <c r="D54" s="58" t="s">
        <v>434</v>
      </c>
      <c r="E54" s="58" t="s">
        <v>385</v>
      </c>
      <c r="F54" s="58" t="s">
        <v>437</v>
      </c>
      <c r="G54" s="58" t="s">
        <v>438</v>
      </c>
      <c r="H54" s="10" t="s">
        <v>387</v>
      </c>
      <c r="I54" s="58">
        <v>0</v>
      </c>
      <c r="J54" s="58"/>
      <c r="K54" s="66" t="s">
        <v>383</v>
      </c>
      <c r="L54" s="58" t="s">
        <v>383</v>
      </c>
      <c r="M54" s="58" t="s">
        <v>383</v>
      </c>
      <c r="N54" s="65"/>
      <c r="O54" s="58"/>
      <c r="P54" s="58"/>
      <c r="Q54" s="198"/>
      <c r="R54" s="65">
        <v>0</v>
      </c>
      <c r="S54" s="58">
        <v>0</v>
      </c>
      <c r="T54" s="58">
        <v>0</v>
      </c>
      <c r="U54" s="203">
        <v>0</v>
      </c>
      <c r="V54" s="65">
        <v>1</v>
      </c>
      <c r="W54" s="65" t="s">
        <v>383</v>
      </c>
      <c r="X54" s="58" t="s">
        <v>383</v>
      </c>
      <c r="Y54" s="58" t="s">
        <v>383</v>
      </c>
      <c r="Z54" s="58" t="s">
        <v>383</v>
      </c>
      <c r="AA54" s="828"/>
      <c r="AB54" s="69">
        <v>0</v>
      </c>
      <c r="AC54" s="69" t="s">
        <v>383</v>
      </c>
      <c r="AD54" s="65" t="s">
        <v>383</v>
      </c>
      <c r="AE54" s="198" t="s">
        <v>383</v>
      </c>
      <c r="AF54" s="58">
        <v>0</v>
      </c>
      <c r="AG54" s="204" t="s">
        <v>383</v>
      </c>
      <c r="AH54" s="69" t="s">
        <v>383</v>
      </c>
      <c r="AI54" s="69">
        <v>0</v>
      </c>
      <c r="AJ54" s="69" t="s">
        <v>383</v>
      </c>
    </row>
    <row r="55" spans="1:36" ht="30" customHeight="1" x14ac:dyDescent="0.3">
      <c r="A55" s="60" t="str">
        <f t="shared" si="0"/>
        <v>Unitil</v>
      </c>
      <c r="B55" s="66" t="s">
        <v>383</v>
      </c>
      <c r="C55" s="66" t="s">
        <v>383</v>
      </c>
      <c r="D55" s="58" t="s">
        <v>434</v>
      </c>
      <c r="E55" s="58" t="s">
        <v>385</v>
      </c>
      <c r="F55" s="58" t="s">
        <v>439</v>
      </c>
      <c r="G55" s="58" t="s">
        <v>385</v>
      </c>
      <c r="H55" s="10" t="s">
        <v>387</v>
      </c>
      <c r="I55" s="58">
        <v>0</v>
      </c>
      <c r="J55" s="58"/>
      <c r="K55" s="66" t="s">
        <v>383</v>
      </c>
      <c r="L55" s="58" t="s">
        <v>383</v>
      </c>
      <c r="M55" s="58" t="s">
        <v>383</v>
      </c>
      <c r="N55" s="65"/>
      <c r="O55" s="58"/>
      <c r="P55" s="58"/>
      <c r="Q55" s="198"/>
      <c r="R55" s="65">
        <v>0</v>
      </c>
      <c r="S55" s="58">
        <v>0</v>
      </c>
      <c r="T55" s="58">
        <v>0</v>
      </c>
      <c r="U55" s="203">
        <v>0</v>
      </c>
      <c r="V55" s="65">
        <v>1</v>
      </c>
      <c r="W55" s="65" t="s">
        <v>383</v>
      </c>
      <c r="X55" s="58" t="s">
        <v>383</v>
      </c>
      <c r="Y55" s="58" t="s">
        <v>383</v>
      </c>
      <c r="Z55" s="58" t="s">
        <v>383</v>
      </c>
      <c r="AA55" s="828"/>
      <c r="AB55" s="69">
        <v>0</v>
      </c>
      <c r="AC55" s="69" t="s">
        <v>383</v>
      </c>
      <c r="AD55" s="65" t="s">
        <v>383</v>
      </c>
      <c r="AE55" s="198" t="s">
        <v>383</v>
      </c>
      <c r="AF55" s="58">
        <v>0</v>
      </c>
      <c r="AG55" s="204" t="s">
        <v>383</v>
      </c>
      <c r="AH55" s="69" t="s">
        <v>383</v>
      </c>
      <c r="AI55" s="69">
        <v>0</v>
      </c>
      <c r="AJ55" s="69" t="s">
        <v>383</v>
      </c>
    </row>
    <row r="56" spans="1:36" ht="30" customHeight="1" x14ac:dyDescent="0.3">
      <c r="A56" s="60" t="str">
        <f t="shared" si="0"/>
        <v>Unitil</v>
      </c>
      <c r="B56" s="66" t="s">
        <v>383</v>
      </c>
      <c r="C56" s="66" t="s">
        <v>383</v>
      </c>
      <c r="D56" s="58" t="s">
        <v>434</v>
      </c>
      <c r="E56" s="58" t="s">
        <v>385</v>
      </c>
      <c r="F56" s="58">
        <v>1303</v>
      </c>
      <c r="G56" s="58" t="s">
        <v>385</v>
      </c>
      <c r="H56" s="10" t="s">
        <v>387</v>
      </c>
      <c r="I56" s="58">
        <v>0</v>
      </c>
      <c r="J56" s="58"/>
      <c r="K56" s="66" t="s">
        <v>383</v>
      </c>
      <c r="L56" s="58" t="s">
        <v>383</v>
      </c>
      <c r="M56" s="58" t="s">
        <v>383</v>
      </c>
      <c r="N56" s="65"/>
      <c r="O56" s="58"/>
      <c r="P56" s="58"/>
      <c r="Q56" s="198"/>
      <c r="R56" s="65">
        <v>0</v>
      </c>
      <c r="S56" s="58">
        <v>0</v>
      </c>
      <c r="T56" s="58">
        <v>0</v>
      </c>
      <c r="U56" s="203">
        <v>0</v>
      </c>
      <c r="V56" s="65">
        <v>1</v>
      </c>
      <c r="W56" s="65" t="s">
        <v>383</v>
      </c>
      <c r="X56" s="58" t="s">
        <v>383</v>
      </c>
      <c r="Y56" s="58" t="s">
        <v>383</v>
      </c>
      <c r="Z56" s="58" t="s">
        <v>383</v>
      </c>
      <c r="AA56" s="828"/>
      <c r="AB56" s="69">
        <v>0</v>
      </c>
      <c r="AC56" s="69" t="s">
        <v>383</v>
      </c>
      <c r="AD56" s="65" t="s">
        <v>383</v>
      </c>
      <c r="AE56" s="198" t="s">
        <v>383</v>
      </c>
      <c r="AF56" s="58">
        <v>0</v>
      </c>
      <c r="AG56" s="204" t="s">
        <v>383</v>
      </c>
      <c r="AH56" s="69" t="s">
        <v>383</v>
      </c>
      <c r="AI56" s="69">
        <v>0</v>
      </c>
      <c r="AJ56" s="69" t="s">
        <v>383</v>
      </c>
    </row>
    <row r="57" spans="1:36" ht="30" customHeight="1" x14ac:dyDescent="0.3">
      <c r="A57" s="60" t="str">
        <f t="shared" si="0"/>
        <v>Unitil</v>
      </c>
      <c r="B57" s="66" t="s">
        <v>383</v>
      </c>
      <c r="C57" s="66" t="s">
        <v>383</v>
      </c>
      <c r="D57" s="58" t="s">
        <v>434</v>
      </c>
      <c r="E57" s="58" t="s">
        <v>385</v>
      </c>
      <c r="F57" s="58">
        <v>1309</v>
      </c>
      <c r="G57" s="58" t="s">
        <v>385</v>
      </c>
      <c r="H57" s="10" t="s">
        <v>387</v>
      </c>
      <c r="I57" s="58">
        <v>0</v>
      </c>
      <c r="J57" s="58"/>
      <c r="K57" s="66" t="s">
        <v>383</v>
      </c>
      <c r="L57" s="58" t="s">
        <v>383</v>
      </c>
      <c r="M57" s="58" t="s">
        <v>383</v>
      </c>
      <c r="N57" s="65"/>
      <c r="O57" s="58"/>
      <c r="P57" s="58"/>
      <c r="Q57" s="198"/>
      <c r="R57" s="65">
        <v>0</v>
      </c>
      <c r="S57" s="58">
        <v>0</v>
      </c>
      <c r="T57" s="58">
        <v>0</v>
      </c>
      <c r="U57" s="203">
        <v>0</v>
      </c>
      <c r="V57" s="65">
        <v>1</v>
      </c>
      <c r="W57" s="65" t="s">
        <v>383</v>
      </c>
      <c r="X57" s="58" t="s">
        <v>383</v>
      </c>
      <c r="Y57" s="58" t="s">
        <v>383</v>
      </c>
      <c r="Z57" s="58" t="s">
        <v>383</v>
      </c>
      <c r="AA57" s="828"/>
      <c r="AB57" s="69">
        <v>0</v>
      </c>
      <c r="AC57" s="69" t="s">
        <v>383</v>
      </c>
      <c r="AD57" s="65" t="s">
        <v>383</v>
      </c>
      <c r="AE57" s="198" t="s">
        <v>383</v>
      </c>
      <c r="AF57" s="58">
        <v>0</v>
      </c>
      <c r="AG57" s="204" t="s">
        <v>383</v>
      </c>
      <c r="AH57" s="69" t="s">
        <v>383</v>
      </c>
      <c r="AI57" s="69">
        <v>0</v>
      </c>
      <c r="AJ57" s="69" t="s">
        <v>383</v>
      </c>
    </row>
    <row r="58" spans="1:36" ht="30" customHeight="1" x14ac:dyDescent="0.3">
      <c r="A58" s="60" t="str">
        <f t="shared" si="0"/>
        <v>Unitil</v>
      </c>
      <c r="B58" s="66" t="s">
        <v>383</v>
      </c>
      <c r="C58" s="66" t="s">
        <v>383</v>
      </c>
      <c r="D58" s="58" t="s">
        <v>434</v>
      </c>
      <c r="E58" s="58" t="s">
        <v>385</v>
      </c>
      <c r="F58" s="496"/>
      <c r="G58" s="496"/>
      <c r="H58" s="497"/>
      <c r="I58" s="58">
        <v>0</v>
      </c>
      <c r="J58" s="58"/>
      <c r="K58" s="58" t="s">
        <v>383</v>
      </c>
      <c r="L58" s="58" t="s">
        <v>383</v>
      </c>
      <c r="M58" s="58" t="s">
        <v>383</v>
      </c>
      <c r="N58" s="65"/>
      <c r="O58" s="58"/>
      <c r="P58" s="58"/>
      <c r="Q58" s="204"/>
      <c r="R58" s="65">
        <v>0</v>
      </c>
      <c r="S58" s="58">
        <v>0</v>
      </c>
      <c r="T58" s="58">
        <v>0</v>
      </c>
      <c r="U58" s="203">
        <v>0</v>
      </c>
      <c r="V58" s="65">
        <v>0</v>
      </c>
      <c r="W58" s="205" t="s">
        <v>383</v>
      </c>
      <c r="X58" s="633" t="s">
        <v>383</v>
      </c>
      <c r="Y58" s="633" t="s">
        <v>383</v>
      </c>
      <c r="Z58" s="633" t="s">
        <v>383</v>
      </c>
      <c r="AA58" s="829"/>
      <c r="AB58" s="69">
        <v>0</v>
      </c>
      <c r="AC58" s="207" t="s">
        <v>383</v>
      </c>
      <c r="AD58" s="205" t="s">
        <v>383</v>
      </c>
      <c r="AE58" s="206" t="s">
        <v>383</v>
      </c>
      <c r="AF58" s="58">
        <v>0</v>
      </c>
      <c r="AG58" s="204" t="s">
        <v>383</v>
      </c>
      <c r="AH58" s="207" t="s">
        <v>383</v>
      </c>
      <c r="AI58" s="69">
        <v>0</v>
      </c>
      <c r="AJ58" s="207" t="s">
        <v>383</v>
      </c>
    </row>
    <row r="59" spans="1:36" ht="30" customHeight="1" x14ac:dyDescent="0.3">
      <c r="A59" s="60" t="str">
        <f t="shared" si="0"/>
        <v>Unitil</v>
      </c>
      <c r="B59" s="66" t="s">
        <v>383</v>
      </c>
      <c r="C59" s="66" t="s">
        <v>383</v>
      </c>
      <c r="D59" s="58" t="s">
        <v>440</v>
      </c>
      <c r="E59" s="58" t="s">
        <v>385</v>
      </c>
      <c r="F59" s="58" t="s">
        <v>441</v>
      </c>
      <c r="G59" s="58" t="s">
        <v>385</v>
      </c>
      <c r="H59" s="10" t="s">
        <v>387</v>
      </c>
      <c r="I59" s="58">
        <v>1</v>
      </c>
      <c r="J59" s="58"/>
      <c r="K59" s="58" t="s">
        <v>383</v>
      </c>
      <c r="L59" s="58" t="s">
        <v>383</v>
      </c>
      <c r="M59" s="58" t="s">
        <v>383</v>
      </c>
      <c r="N59" s="65"/>
      <c r="O59" s="58"/>
      <c r="P59" s="58"/>
      <c r="Q59" s="204"/>
      <c r="R59" s="65">
        <v>0</v>
      </c>
      <c r="S59" s="58">
        <v>0</v>
      </c>
      <c r="T59" s="58">
        <v>0</v>
      </c>
      <c r="U59" s="203">
        <v>0</v>
      </c>
      <c r="V59" s="65">
        <v>0</v>
      </c>
      <c r="W59" s="205" t="s">
        <v>383</v>
      </c>
      <c r="X59" s="633" t="s">
        <v>383</v>
      </c>
      <c r="Y59" s="633" t="s">
        <v>383</v>
      </c>
      <c r="Z59" s="633" t="s">
        <v>383</v>
      </c>
      <c r="AA59" s="829"/>
      <c r="AB59" s="69">
        <v>0</v>
      </c>
      <c r="AC59" s="207" t="s">
        <v>383</v>
      </c>
      <c r="AD59" s="205" t="s">
        <v>383</v>
      </c>
      <c r="AE59" s="208" t="s">
        <v>383</v>
      </c>
      <c r="AF59" s="58">
        <v>0</v>
      </c>
      <c r="AG59" s="204" t="s">
        <v>383</v>
      </c>
      <c r="AH59" s="207" t="s">
        <v>383</v>
      </c>
      <c r="AI59" s="69">
        <v>0</v>
      </c>
      <c r="AJ59" s="207" t="s">
        <v>383</v>
      </c>
    </row>
    <row r="60" spans="1:36" ht="30" customHeight="1" x14ac:dyDescent="0.3">
      <c r="A60" s="60" t="str">
        <f t="shared" si="0"/>
        <v>Unitil</v>
      </c>
      <c r="B60" s="66" t="s">
        <v>383</v>
      </c>
      <c r="C60" s="66" t="s">
        <v>383</v>
      </c>
      <c r="D60" s="58" t="s">
        <v>440</v>
      </c>
      <c r="E60" s="58" t="s">
        <v>385</v>
      </c>
      <c r="F60" s="58" t="s">
        <v>442</v>
      </c>
      <c r="G60" s="58" t="s">
        <v>385</v>
      </c>
      <c r="H60" s="10" t="s">
        <v>387</v>
      </c>
      <c r="I60" s="58">
        <v>0</v>
      </c>
      <c r="J60" s="58"/>
      <c r="K60" s="58" t="s">
        <v>383</v>
      </c>
      <c r="L60" s="58" t="s">
        <v>383</v>
      </c>
      <c r="M60" s="58" t="s">
        <v>383</v>
      </c>
      <c r="N60" s="65"/>
      <c r="O60" s="58"/>
      <c r="P60" s="58"/>
      <c r="Q60" s="204"/>
      <c r="R60" s="65">
        <v>0</v>
      </c>
      <c r="S60" s="58">
        <v>0</v>
      </c>
      <c r="T60" s="58">
        <v>0</v>
      </c>
      <c r="U60" s="203">
        <v>0</v>
      </c>
      <c r="V60" s="65">
        <v>0</v>
      </c>
      <c r="W60" s="205" t="s">
        <v>383</v>
      </c>
      <c r="X60" s="633" t="s">
        <v>383</v>
      </c>
      <c r="Y60" s="633" t="s">
        <v>383</v>
      </c>
      <c r="Z60" s="633" t="s">
        <v>383</v>
      </c>
      <c r="AA60" s="829"/>
      <c r="AB60" s="69">
        <v>0</v>
      </c>
      <c r="AC60" s="207" t="s">
        <v>383</v>
      </c>
      <c r="AD60" s="205" t="s">
        <v>383</v>
      </c>
      <c r="AE60" s="208" t="s">
        <v>383</v>
      </c>
      <c r="AF60" s="58">
        <v>0</v>
      </c>
      <c r="AG60" s="204" t="s">
        <v>383</v>
      </c>
      <c r="AH60" s="207" t="s">
        <v>383</v>
      </c>
      <c r="AI60" s="69">
        <v>0</v>
      </c>
      <c r="AJ60" s="207" t="s">
        <v>383</v>
      </c>
    </row>
    <row r="61" spans="1:36" ht="30" customHeight="1" x14ac:dyDescent="0.3">
      <c r="A61" s="60" t="str">
        <f t="shared" si="0"/>
        <v>Unitil</v>
      </c>
      <c r="B61" s="66" t="s">
        <v>383</v>
      </c>
      <c r="C61" s="66" t="s">
        <v>383</v>
      </c>
      <c r="D61" s="58" t="s">
        <v>440</v>
      </c>
      <c r="E61" s="58" t="s">
        <v>385</v>
      </c>
      <c r="F61" s="58" t="s">
        <v>443</v>
      </c>
      <c r="G61" s="58" t="s">
        <v>385</v>
      </c>
      <c r="H61" s="10" t="s">
        <v>387</v>
      </c>
      <c r="I61" s="58">
        <v>0</v>
      </c>
      <c r="J61" s="58"/>
      <c r="K61" s="58" t="s">
        <v>383</v>
      </c>
      <c r="L61" s="58" t="s">
        <v>383</v>
      </c>
      <c r="M61" s="58" t="s">
        <v>383</v>
      </c>
      <c r="N61" s="65"/>
      <c r="O61" s="58"/>
      <c r="P61" s="58"/>
      <c r="Q61" s="204"/>
      <c r="R61" s="65">
        <v>0</v>
      </c>
      <c r="S61" s="58">
        <v>0</v>
      </c>
      <c r="T61" s="58">
        <v>0</v>
      </c>
      <c r="U61" s="203">
        <v>0</v>
      </c>
      <c r="V61" s="65">
        <v>0</v>
      </c>
      <c r="W61" s="205" t="s">
        <v>383</v>
      </c>
      <c r="X61" s="633" t="s">
        <v>383</v>
      </c>
      <c r="Y61" s="633" t="s">
        <v>383</v>
      </c>
      <c r="Z61" s="633" t="s">
        <v>383</v>
      </c>
      <c r="AA61" s="829"/>
      <c r="AB61" s="69">
        <v>0</v>
      </c>
      <c r="AC61" s="207" t="s">
        <v>383</v>
      </c>
      <c r="AD61" s="205" t="s">
        <v>383</v>
      </c>
      <c r="AE61" s="208" t="s">
        <v>383</v>
      </c>
      <c r="AF61" s="58">
        <v>0</v>
      </c>
      <c r="AG61" s="204" t="s">
        <v>383</v>
      </c>
      <c r="AH61" s="207" t="s">
        <v>383</v>
      </c>
      <c r="AI61" s="69">
        <v>0</v>
      </c>
      <c r="AJ61" s="207" t="s">
        <v>383</v>
      </c>
    </row>
    <row r="62" spans="1:36" ht="30" customHeight="1" x14ac:dyDescent="0.3">
      <c r="A62" s="60" t="str">
        <f t="shared" si="0"/>
        <v>Unitil</v>
      </c>
      <c r="B62" s="66" t="s">
        <v>383</v>
      </c>
      <c r="C62" s="66" t="s">
        <v>383</v>
      </c>
      <c r="D62" s="58" t="s">
        <v>440</v>
      </c>
      <c r="E62" s="58" t="s">
        <v>385</v>
      </c>
      <c r="F62" s="58" t="s">
        <v>444</v>
      </c>
      <c r="G62" s="58" t="s">
        <v>385</v>
      </c>
      <c r="H62" s="10" t="s">
        <v>387</v>
      </c>
      <c r="I62" s="58">
        <v>1</v>
      </c>
      <c r="J62" s="58"/>
      <c r="K62" s="58" t="s">
        <v>383</v>
      </c>
      <c r="L62" s="58" t="s">
        <v>383</v>
      </c>
      <c r="M62" s="58" t="s">
        <v>383</v>
      </c>
      <c r="N62" s="65"/>
      <c r="O62" s="58"/>
      <c r="P62" s="58"/>
      <c r="Q62" s="204"/>
      <c r="R62" s="65">
        <v>0</v>
      </c>
      <c r="S62" s="58">
        <v>0</v>
      </c>
      <c r="T62" s="58">
        <v>0</v>
      </c>
      <c r="U62" s="203">
        <v>0</v>
      </c>
      <c r="V62" s="65">
        <v>0</v>
      </c>
      <c r="W62" s="205" t="s">
        <v>383</v>
      </c>
      <c r="X62" s="633" t="s">
        <v>383</v>
      </c>
      <c r="Y62" s="633" t="s">
        <v>383</v>
      </c>
      <c r="Z62" s="633" t="s">
        <v>383</v>
      </c>
      <c r="AA62" s="829"/>
      <c r="AB62" s="69">
        <v>0</v>
      </c>
      <c r="AC62" s="207" t="s">
        <v>383</v>
      </c>
      <c r="AD62" s="205" t="s">
        <v>383</v>
      </c>
      <c r="AE62" s="208" t="s">
        <v>383</v>
      </c>
      <c r="AF62" s="58">
        <v>0</v>
      </c>
      <c r="AG62" s="204" t="s">
        <v>383</v>
      </c>
      <c r="AH62" s="207" t="s">
        <v>383</v>
      </c>
      <c r="AI62" s="69">
        <v>0</v>
      </c>
      <c r="AJ62" s="207" t="s">
        <v>383</v>
      </c>
    </row>
    <row r="63" spans="1:36" ht="30" customHeight="1" x14ac:dyDescent="0.3">
      <c r="A63" s="60" t="str">
        <f t="shared" si="0"/>
        <v>Unitil</v>
      </c>
      <c r="B63" s="66" t="s">
        <v>383</v>
      </c>
      <c r="C63" s="66" t="s">
        <v>383</v>
      </c>
      <c r="D63" s="58" t="s">
        <v>440</v>
      </c>
      <c r="E63" s="58" t="s">
        <v>385</v>
      </c>
      <c r="F63" s="58" t="s">
        <v>445</v>
      </c>
      <c r="G63" s="58" t="s">
        <v>385</v>
      </c>
      <c r="H63" s="196" t="s">
        <v>387</v>
      </c>
      <c r="I63" s="58">
        <v>1</v>
      </c>
      <c r="J63" s="58"/>
      <c r="K63" s="58" t="s">
        <v>383</v>
      </c>
      <c r="L63" s="58" t="s">
        <v>383</v>
      </c>
      <c r="M63" s="58" t="s">
        <v>383</v>
      </c>
      <c r="N63" s="65"/>
      <c r="O63" s="58"/>
      <c r="P63" s="58"/>
      <c r="Q63" s="204"/>
      <c r="R63" s="65">
        <v>0</v>
      </c>
      <c r="S63" s="58">
        <v>0</v>
      </c>
      <c r="T63" s="58">
        <v>0</v>
      </c>
      <c r="U63" s="203">
        <v>0</v>
      </c>
      <c r="V63" s="65">
        <v>0</v>
      </c>
      <c r="W63" s="205" t="s">
        <v>383</v>
      </c>
      <c r="X63" s="633" t="s">
        <v>383</v>
      </c>
      <c r="Y63" s="633" t="s">
        <v>383</v>
      </c>
      <c r="Z63" s="633" t="s">
        <v>383</v>
      </c>
      <c r="AA63" s="829"/>
      <c r="AB63" s="69">
        <v>0</v>
      </c>
      <c r="AC63" s="207" t="s">
        <v>383</v>
      </c>
      <c r="AD63" s="205" t="s">
        <v>383</v>
      </c>
      <c r="AE63" s="208" t="s">
        <v>383</v>
      </c>
      <c r="AF63" s="58">
        <v>0</v>
      </c>
      <c r="AG63" s="204" t="s">
        <v>383</v>
      </c>
      <c r="AH63" s="207" t="s">
        <v>383</v>
      </c>
      <c r="AI63" s="69">
        <v>0</v>
      </c>
      <c r="AJ63" s="207" t="s">
        <v>383</v>
      </c>
    </row>
    <row r="64" spans="1:36" ht="30" customHeight="1" thickBot="1" x14ac:dyDescent="0.35">
      <c r="A64" s="60" t="str">
        <f t="shared" si="0"/>
        <v>Unitil</v>
      </c>
      <c r="B64" s="66" t="s">
        <v>383</v>
      </c>
      <c r="C64" s="66" t="s">
        <v>383</v>
      </c>
      <c r="D64" s="58" t="s">
        <v>440</v>
      </c>
      <c r="E64" s="58" t="s">
        <v>385</v>
      </c>
      <c r="F64" s="496"/>
      <c r="G64" s="496"/>
      <c r="H64" s="508"/>
      <c r="I64" s="212">
        <v>4</v>
      </c>
      <c r="J64" s="58"/>
      <c r="K64" s="212" t="s">
        <v>383</v>
      </c>
      <c r="L64" s="212" t="s">
        <v>383</v>
      </c>
      <c r="M64" s="212" t="s">
        <v>383</v>
      </c>
      <c r="N64" s="211"/>
      <c r="O64" s="212"/>
      <c r="P64" s="212"/>
      <c r="Q64" s="213"/>
      <c r="R64" s="604">
        <v>0</v>
      </c>
      <c r="S64" s="209">
        <v>0</v>
      </c>
      <c r="T64" s="209">
        <v>0</v>
      </c>
      <c r="U64" s="605">
        <v>0</v>
      </c>
      <c r="V64" s="604">
        <v>0</v>
      </c>
      <c r="W64" s="634" t="s">
        <v>383</v>
      </c>
      <c r="X64" s="635" t="s">
        <v>383</v>
      </c>
      <c r="Y64" s="635" t="s">
        <v>383</v>
      </c>
      <c r="Z64" s="635" t="s">
        <v>383</v>
      </c>
      <c r="AA64" s="830"/>
      <c r="AB64" s="69">
        <v>0</v>
      </c>
      <c r="AC64" s="216" t="s">
        <v>383</v>
      </c>
      <c r="AD64" s="214" t="s">
        <v>383</v>
      </c>
      <c r="AE64" s="215" t="s">
        <v>383</v>
      </c>
      <c r="AF64" s="209">
        <v>0</v>
      </c>
      <c r="AG64" s="605" t="s">
        <v>383</v>
      </c>
      <c r="AH64" s="216" t="s">
        <v>383</v>
      </c>
      <c r="AI64" s="509">
        <v>0</v>
      </c>
      <c r="AJ64" s="216" t="s">
        <v>383</v>
      </c>
    </row>
    <row r="65" spans="1:36" ht="15" thickBot="1" x14ac:dyDescent="0.35">
      <c r="A65" s="236" t="s">
        <v>31</v>
      </c>
      <c r="B65" s="871"/>
      <c r="C65" s="872"/>
      <c r="D65" s="872"/>
      <c r="E65" s="872"/>
      <c r="F65" s="872"/>
      <c r="G65" s="872"/>
      <c r="H65" s="873"/>
      <c r="I65" s="200">
        <f>SUM(I8:I64)</f>
        <v>13</v>
      </c>
      <c r="J65" s="200">
        <f t="shared" ref="J65:AI65" si="1">SUM(J8:J64)</f>
        <v>0</v>
      </c>
      <c r="K65" s="200">
        <f>SUM(K8:K64)</f>
        <v>0</v>
      </c>
      <c r="L65" s="200">
        <f t="shared" ref="L65" si="2">SUM(L8:L64)</f>
        <v>0</v>
      </c>
      <c r="M65" s="200">
        <f t="shared" si="1"/>
        <v>0</v>
      </c>
      <c r="N65" s="199">
        <f t="shared" si="1"/>
        <v>0</v>
      </c>
      <c r="O65" s="200">
        <f t="shared" si="1"/>
        <v>0</v>
      </c>
      <c r="P65" s="200">
        <f t="shared" si="1"/>
        <v>0</v>
      </c>
      <c r="Q65" s="201">
        <f t="shared" si="1"/>
        <v>0</v>
      </c>
      <c r="R65" s="199">
        <f t="shared" si="1"/>
        <v>19</v>
      </c>
      <c r="S65" s="200">
        <f t="shared" si="1"/>
        <v>5</v>
      </c>
      <c r="T65" s="200">
        <f t="shared" si="1"/>
        <v>1</v>
      </c>
      <c r="U65" s="200">
        <f t="shared" si="1"/>
        <v>22</v>
      </c>
      <c r="V65" s="200">
        <f t="shared" si="1"/>
        <v>6</v>
      </c>
      <c r="W65" s="199">
        <f t="shared" si="1"/>
        <v>0</v>
      </c>
      <c r="X65" s="632"/>
      <c r="Y65" s="632"/>
      <c r="Z65" s="632"/>
      <c r="AA65" s="201">
        <f t="shared" si="1"/>
        <v>0</v>
      </c>
      <c r="AB65" s="202">
        <f t="shared" si="1"/>
        <v>0</v>
      </c>
      <c r="AC65" s="202">
        <f t="shared" si="1"/>
        <v>0</v>
      </c>
      <c r="AD65" s="199">
        <f t="shared" si="1"/>
        <v>0</v>
      </c>
      <c r="AE65" s="201">
        <f t="shared" si="1"/>
        <v>0</v>
      </c>
      <c r="AF65" s="200">
        <f t="shared" si="1"/>
        <v>0</v>
      </c>
      <c r="AG65" s="200">
        <f t="shared" si="1"/>
        <v>0</v>
      </c>
      <c r="AH65" s="202">
        <f t="shared" si="1"/>
        <v>0</v>
      </c>
      <c r="AI65" s="202">
        <f t="shared" si="1"/>
        <v>0</v>
      </c>
      <c r="AJ65" s="202">
        <f>SUM(AJ8:AJ64)</f>
        <v>0</v>
      </c>
    </row>
    <row r="67" spans="1:36" x14ac:dyDescent="0.3">
      <c r="A67" s="38" t="s">
        <v>32</v>
      </c>
      <c r="C67" s="62"/>
    </row>
    <row r="68" spans="1:36" x14ac:dyDescent="0.3">
      <c r="A68" s="194" t="s">
        <v>33</v>
      </c>
      <c r="B68" s="152"/>
      <c r="C68" s="217"/>
      <c r="D68" s="146"/>
      <c r="E68" s="146"/>
      <c r="F68" s="146"/>
      <c r="G68" s="146"/>
      <c r="H68" s="146"/>
      <c r="I68" s="153"/>
      <c r="J68" s="218"/>
      <c r="K68" s="218"/>
      <c r="L68" s="218"/>
      <c r="M68" s="218"/>
      <c r="N68" s="193"/>
      <c r="O68" s="193"/>
    </row>
    <row r="69" spans="1:36" ht="15" customHeight="1" x14ac:dyDescent="0.3">
      <c r="A69" s="164" t="s">
        <v>34</v>
      </c>
      <c r="B69" s="341"/>
      <c r="C69" s="160"/>
      <c r="D69" s="160"/>
      <c r="E69" s="160"/>
      <c r="F69" s="160"/>
      <c r="G69" s="160"/>
      <c r="H69" s="160"/>
      <c r="I69" s="186"/>
      <c r="J69" s="170"/>
      <c r="K69" s="170"/>
      <c r="L69" s="170"/>
      <c r="M69" s="170"/>
      <c r="N69" s="99"/>
      <c r="O69" s="99"/>
      <c r="P69" s="6"/>
      <c r="Q69" s="6"/>
    </row>
    <row r="70" spans="1:36" ht="15" customHeight="1" x14ac:dyDescent="0.3">
      <c r="A70" s="164" t="s">
        <v>35</v>
      </c>
      <c r="B70" s="341"/>
      <c r="C70" s="160"/>
      <c r="D70" s="160"/>
      <c r="E70" s="160"/>
      <c r="F70" s="160"/>
      <c r="G70" s="160"/>
      <c r="H70" s="160"/>
      <c r="I70" s="186"/>
      <c r="J70" s="170"/>
      <c r="K70" s="170"/>
      <c r="L70" s="170"/>
      <c r="M70" s="170"/>
      <c r="N70" s="99"/>
      <c r="O70" s="99"/>
      <c r="P70" s="6"/>
      <c r="Q70" s="6"/>
    </row>
    <row r="71" spans="1:36" ht="15" customHeight="1" x14ac:dyDescent="0.3">
      <c r="A71" s="164" t="s">
        <v>36</v>
      </c>
      <c r="B71" s="341"/>
      <c r="C71" s="160"/>
      <c r="D71" s="160"/>
      <c r="E71" s="160"/>
      <c r="F71" s="160"/>
      <c r="G71" s="160"/>
      <c r="H71" s="160"/>
      <c r="I71" s="186"/>
      <c r="J71" s="170"/>
      <c r="K71" s="170"/>
      <c r="L71" s="170"/>
      <c r="M71" s="170"/>
      <c r="N71" s="99"/>
      <c r="O71" s="99"/>
      <c r="P71" s="6"/>
      <c r="Q71" s="6"/>
    </row>
    <row r="72" spans="1:36" ht="15" customHeight="1" x14ac:dyDescent="0.3">
      <c r="A72" s="167" t="s">
        <v>37</v>
      </c>
      <c r="B72" s="342"/>
      <c r="C72" s="171"/>
      <c r="D72" s="171"/>
      <c r="E72" s="171"/>
      <c r="F72" s="171"/>
      <c r="G72" s="171"/>
      <c r="H72" s="171"/>
      <c r="I72" s="189"/>
      <c r="J72" s="170"/>
      <c r="K72" s="170"/>
      <c r="L72" s="170"/>
      <c r="M72" s="170"/>
      <c r="N72" s="71"/>
      <c r="O72" s="71"/>
    </row>
  </sheetData>
  <mergeCells count="8">
    <mergeCell ref="W6:AA6"/>
    <mergeCell ref="AD6:AE6"/>
    <mergeCell ref="AF6:AG6"/>
    <mergeCell ref="B65:H65"/>
    <mergeCell ref="A6:H6"/>
    <mergeCell ref="I6:M6"/>
    <mergeCell ref="N6:Q6"/>
    <mergeCell ref="R6:U6"/>
  </mergeCells>
  <printOptions headings="1" gridLines="1"/>
  <pageMargins left="0.7" right="0.7" top="0.75" bottom="0.75" header="0.3" footer="0.3"/>
  <pageSetup scale="28"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2"/>
    <pageSetUpPr fitToPage="1"/>
  </sheetPr>
  <dimension ref="A1:I22"/>
  <sheetViews>
    <sheetView zoomScaleNormal="100" workbookViewId="0">
      <selection activeCell="H13" sqref="H13"/>
    </sheetView>
  </sheetViews>
  <sheetFormatPr defaultColWidth="9.109375" defaultRowHeight="14.4" x14ac:dyDescent="0.3"/>
  <cols>
    <col min="1" max="1" width="23.33203125" style="123" customWidth="1"/>
    <col min="2" max="2" width="22.33203125" style="124" bestFit="1" customWidth="1"/>
    <col min="3" max="8" width="25.6640625" style="124" customWidth="1"/>
    <col min="9" max="9" width="25.6640625" style="123" customWidth="1"/>
    <col min="10" max="10" width="17" style="123" bestFit="1" customWidth="1"/>
    <col min="11" max="11" width="21.5546875" style="123" bestFit="1" customWidth="1"/>
    <col min="12" max="12" width="15.5546875" style="123" bestFit="1" customWidth="1"/>
    <col min="13" max="13" width="11.88671875" style="123" bestFit="1" customWidth="1"/>
    <col min="14" max="16384" width="9.109375" style="123"/>
  </cols>
  <sheetData>
    <row r="1" spans="1:9" x14ac:dyDescent="0.3">
      <c r="A1" s="1" t="s">
        <v>273</v>
      </c>
      <c r="B1" s="1" t="s">
        <v>264</v>
      </c>
      <c r="C1" s="192"/>
      <c r="D1" s="250" t="s">
        <v>2</v>
      </c>
      <c r="E1" s="250" t="s">
        <v>69</v>
      </c>
    </row>
    <row r="2" spans="1:9" x14ac:dyDescent="0.3">
      <c r="A2" s="1"/>
      <c r="B2" s="1"/>
      <c r="C2" s="192"/>
      <c r="D2" s="250" t="s">
        <v>4</v>
      </c>
      <c r="E2" s="265">
        <v>2023</v>
      </c>
      <c r="F2" s="123"/>
    </row>
    <row r="3" spans="1:9" x14ac:dyDescent="0.3">
      <c r="A3" s="1"/>
      <c r="C3" s="2"/>
      <c r="D3" s="2"/>
      <c r="E3" s="123"/>
    </row>
    <row r="4" spans="1:9" ht="15.75" customHeight="1" x14ac:dyDescent="0.3">
      <c r="A4" s="116" t="s">
        <v>265</v>
      </c>
      <c r="I4" s="25"/>
    </row>
    <row r="5" spans="1:9" ht="15" thickBot="1" x14ac:dyDescent="0.35"/>
    <row r="6" spans="1:9" ht="31.8" thickBot="1" x14ac:dyDescent="0.35">
      <c r="A6" s="354" t="s">
        <v>2</v>
      </c>
      <c r="B6" s="53" t="s">
        <v>14</v>
      </c>
      <c r="C6" s="55" t="s">
        <v>266</v>
      </c>
      <c r="D6" s="55" t="s">
        <v>267</v>
      </c>
      <c r="E6" s="75" t="s">
        <v>15</v>
      </c>
      <c r="F6" s="54" t="s">
        <v>268</v>
      </c>
      <c r="G6" s="55" t="s">
        <v>269</v>
      </c>
      <c r="H6" s="55" t="s">
        <v>270</v>
      </c>
      <c r="I6" s="53" t="s">
        <v>271</v>
      </c>
    </row>
    <row r="7" spans="1:9" ht="30" customHeight="1" x14ac:dyDescent="0.3">
      <c r="A7" s="355" t="str">
        <f>$E$1</f>
        <v>Unitil</v>
      </c>
      <c r="B7" s="349" t="s">
        <v>384</v>
      </c>
      <c r="C7" s="352" t="s">
        <v>383</v>
      </c>
      <c r="D7" s="352" t="s">
        <v>383</v>
      </c>
      <c r="E7" s="349" t="s">
        <v>385</v>
      </c>
      <c r="F7" s="285">
        <v>4</v>
      </c>
      <c r="G7" s="587">
        <f>'3b. Feeder Status-2023'!M15+'3b. Feeder Status-2023'!M16+'3b. Feeder Status-2023'!M17+'3b. Feeder Status-2023'!M18</f>
        <v>4276</v>
      </c>
      <c r="H7" s="587">
        <f>('3b. Feeder Status-2023'!N15+'3b. Feeder Status-2023'!N16+'3b. Feeder Status-2023'!N17+'3b. Feeder Status-2023'!N18)/1000</f>
        <v>17337.504212483651</v>
      </c>
      <c r="I7" s="587">
        <v>12</v>
      </c>
    </row>
    <row r="8" spans="1:9" ht="30" customHeight="1" x14ac:dyDescent="0.3">
      <c r="A8" s="356" t="str">
        <f t="shared" ref="A8:A17" si="0">$E$1</f>
        <v>Unitil</v>
      </c>
      <c r="B8" s="20" t="s">
        <v>391</v>
      </c>
      <c r="C8" s="19" t="s">
        <v>383</v>
      </c>
      <c r="D8" s="19" t="s">
        <v>383</v>
      </c>
      <c r="E8" s="20" t="s">
        <v>385</v>
      </c>
      <c r="F8" s="287">
        <v>3</v>
      </c>
      <c r="G8" s="589">
        <f>'3b. Feeder Status-2023'!M20+'3b. Feeder Status-2023'!M21+'3b. Feeder Status-2023'!M22</f>
        <v>2908</v>
      </c>
      <c r="H8" s="589">
        <f>('3b. Feeder Status-2023'!N20+'3b. Feeder Status-2023'!N21+'3b. Feeder Status-2023'!N22)/1000</f>
        <v>7756.5934389501381</v>
      </c>
      <c r="I8" s="589">
        <v>6</v>
      </c>
    </row>
    <row r="9" spans="1:9" ht="30" customHeight="1" x14ac:dyDescent="0.3">
      <c r="A9" s="356" t="str">
        <f t="shared" si="0"/>
        <v>Unitil</v>
      </c>
      <c r="B9" s="20" t="s">
        <v>395</v>
      </c>
      <c r="C9" s="19" t="s">
        <v>383</v>
      </c>
      <c r="D9" s="19" t="s">
        <v>383</v>
      </c>
      <c r="E9" s="20" t="s">
        <v>395</v>
      </c>
      <c r="F9" s="287">
        <v>4</v>
      </c>
      <c r="G9" s="589">
        <f>'3b. Feeder Status-2023'!M24+'3b. Feeder Status-2023'!M25+'3b. Feeder Status-2023'!M26+'3b. Feeder Status-2023'!M27</f>
        <v>2110</v>
      </c>
      <c r="H9" s="589">
        <f>('3b. Feeder Status-2023'!N24+'3b. Feeder Status-2023'!N25+'3b. Feeder Status-2023'!N26+'3b. Feeder Status-2023'!N27)/1000</f>
        <v>15462.154637533156</v>
      </c>
      <c r="I9" s="589">
        <v>9</v>
      </c>
    </row>
    <row r="10" spans="1:9" ht="32.25" customHeight="1" x14ac:dyDescent="0.3">
      <c r="A10" s="356" t="str">
        <f t="shared" si="0"/>
        <v>Unitil</v>
      </c>
      <c r="B10" s="20" t="s">
        <v>401</v>
      </c>
      <c r="C10" s="19" t="s">
        <v>383</v>
      </c>
      <c r="D10" s="19" t="s">
        <v>383</v>
      </c>
      <c r="E10" s="20" t="s">
        <v>385</v>
      </c>
      <c r="F10" s="287">
        <v>1</v>
      </c>
      <c r="G10" s="589">
        <f>'3b. Feeder Status-2023'!M29</f>
        <v>896</v>
      </c>
      <c r="H10" s="589">
        <f>'3b. Feeder Status-2023'!N29</f>
        <v>2152827.425888916</v>
      </c>
      <c r="I10" s="589">
        <v>2</v>
      </c>
    </row>
    <row r="11" spans="1:9" x14ac:dyDescent="0.3">
      <c r="A11" s="356" t="str">
        <f t="shared" si="0"/>
        <v>Unitil</v>
      </c>
      <c r="B11" s="20" t="s">
        <v>403</v>
      </c>
      <c r="C11" s="19" t="s">
        <v>383</v>
      </c>
      <c r="D11" s="19" t="s">
        <v>383</v>
      </c>
      <c r="E11" s="20" t="s">
        <v>385</v>
      </c>
      <c r="F11" s="287">
        <v>1</v>
      </c>
      <c r="G11" s="589" t="s">
        <v>383</v>
      </c>
      <c r="H11" s="589" t="s">
        <v>383</v>
      </c>
      <c r="I11" s="589" t="s">
        <v>383</v>
      </c>
    </row>
    <row r="12" spans="1:9" x14ac:dyDescent="0.3">
      <c r="A12" s="356" t="str">
        <f t="shared" si="0"/>
        <v>Unitil</v>
      </c>
      <c r="B12" s="20" t="s">
        <v>404</v>
      </c>
      <c r="C12" s="19" t="s">
        <v>383</v>
      </c>
      <c r="D12" s="19" t="s">
        <v>383</v>
      </c>
      <c r="E12" s="20" t="s">
        <v>385</v>
      </c>
      <c r="F12" s="287">
        <v>8</v>
      </c>
      <c r="G12" s="589">
        <f>'3b. Feeder Status-2023'!M33+'3b. Feeder Status-2023'!M35+'3b. Feeder Status-2023'!M41</f>
        <v>2598</v>
      </c>
      <c r="H12" s="589">
        <f>('3b. Feeder Status-2023'!N33+'3b. Feeder Status-2023'!N35+'3b. Feeder Status-2023'!N41)/1000</f>
        <v>10714.551165757597</v>
      </c>
      <c r="I12" s="589">
        <v>9</v>
      </c>
    </row>
    <row r="13" spans="1:9" x14ac:dyDescent="0.3">
      <c r="A13" s="356" t="str">
        <f t="shared" si="0"/>
        <v>Unitil</v>
      </c>
      <c r="B13" s="20" t="s">
        <v>414</v>
      </c>
      <c r="C13" s="19" t="s">
        <v>383</v>
      </c>
      <c r="D13" s="19" t="s">
        <v>383</v>
      </c>
      <c r="E13" s="20" t="s">
        <v>385</v>
      </c>
      <c r="F13" s="287">
        <v>3</v>
      </c>
      <c r="G13" s="589">
        <f>'3b. Feeder Status-2023'!M43+'3b. Feeder Status-2023'!M44+'3b. Feeder Status-2023'!M45</f>
        <v>1882</v>
      </c>
      <c r="H13" s="589">
        <f>('3b. Feeder Status-2023'!N43+'3b. Feeder Status-2023'!N44+'3b. Feeder Status-2023'!N45)/1000</f>
        <v>4363.0587411510587</v>
      </c>
      <c r="I13" s="589">
        <v>3</v>
      </c>
    </row>
    <row r="14" spans="1:9" x14ac:dyDescent="0.3">
      <c r="A14" s="356" t="str">
        <f t="shared" si="0"/>
        <v>Unitil</v>
      </c>
      <c r="B14" s="20" t="s">
        <v>418</v>
      </c>
      <c r="C14" s="19" t="s">
        <v>383</v>
      </c>
      <c r="D14" s="19" t="s">
        <v>383</v>
      </c>
      <c r="E14" s="20" t="s">
        <v>418</v>
      </c>
      <c r="F14" s="287">
        <v>2</v>
      </c>
      <c r="G14" s="589">
        <f>'3b. Feeder Status-2023'!M47+'3b. Feeder Status-2023'!M48</f>
        <v>3109</v>
      </c>
      <c r="H14" s="589">
        <f>('3b. Feeder Status-2023'!N47+'3b. Feeder Status-2023'!N48)/1000</f>
        <v>13766.313611162061</v>
      </c>
      <c r="I14" s="589">
        <v>9</v>
      </c>
    </row>
    <row r="15" spans="1:9" x14ac:dyDescent="0.3">
      <c r="A15" s="356" t="str">
        <f t="shared" si="0"/>
        <v>Unitil</v>
      </c>
      <c r="B15" s="20" t="s">
        <v>422</v>
      </c>
      <c r="C15" s="19" t="s">
        <v>383</v>
      </c>
      <c r="D15" s="19" t="s">
        <v>383</v>
      </c>
      <c r="E15" s="20" t="s">
        <v>418</v>
      </c>
      <c r="F15" s="287">
        <v>3</v>
      </c>
      <c r="G15" s="589">
        <f>'3b. Feeder Status-2023'!M50+'3b. Feeder Status-2023'!M51+'3b. Feeder Status-2023'!M52</f>
        <v>3818</v>
      </c>
      <c r="H15" s="589">
        <f>('3b. Feeder Status-2023'!N50+'3b. Feeder Status-2023'!N51+'3b. Feeder Status-2023'!N52)/1000</f>
        <v>13030.521278370417</v>
      </c>
      <c r="I15" s="589">
        <v>8</v>
      </c>
    </row>
    <row r="16" spans="1:9" x14ac:dyDescent="0.3">
      <c r="A16" s="356" t="str">
        <f t="shared" si="0"/>
        <v>Unitil</v>
      </c>
      <c r="B16" s="20" t="s">
        <v>427</v>
      </c>
      <c r="C16" s="19" t="s">
        <v>383</v>
      </c>
      <c r="D16" s="19" t="s">
        <v>383</v>
      </c>
      <c r="E16" s="20" t="s">
        <v>385</v>
      </c>
      <c r="F16" s="287">
        <v>1</v>
      </c>
      <c r="G16" s="589">
        <f>'3b. Feeder Status-2023'!M54</f>
        <v>806</v>
      </c>
      <c r="H16" s="589">
        <f>('3b. Feeder Status-2023'!N54)/1000</f>
        <v>5001.0295715110478</v>
      </c>
      <c r="I16" s="589">
        <v>4</v>
      </c>
    </row>
    <row r="17" spans="1:9" x14ac:dyDescent="0.3">
      <c r="A17" s="356" t="str">
        <f t="shared" si="0"/>
        <v>Unitil</v>
      </c>
      <c r="B17" s="20" t="s">
        <v>430</v>
      </c>
      <c r="C17" s="19" t="s">
        <v>383</v>
      </c>
      <c r="D17" s="19" t="s">
        <v>383</v>
      </c>
      <c r="E17" s="20" t="s">
        <v>395</v>
      </c>
      <c r="F17" s="287">
        <v>2</v>
      </c>
      <c r="G17" s="589">
        <f>'3b. Feeder Status-2023'!M56+'3b. Feeder Status-2023'!M57</f>
        <v>3317</v>
      </c>
      <c r="H17" s="589">
        <f>('3b. Feeder Status-2023'!N56+'3b. Feeder Status-2023'!N57)/1000</f>
        <v>10085.666318019048</v>
      </c>
      <c r="I17" s="589">
        <v>7</v>
      </c>
    </row>
    <row r="18" spans="1:9" x14ac:dyDescent="0.3">
      <c r="A18" s="356" t="str">
        <f>$E$1</f>
        <v>Unitil</v>
      </c>
      <c r="B18" s="20" t="s">
        <v>434</v>
      </c>
      <c r="C18" s="19" t="s">
        <v>383</v>
      </c>
      <c r="D18" s="19" t="s">
        <v>383</v>
      </c>
      <c r="E18" s="20" t="s">
        <v>385</v>
      </c>
      <c r="F18" s="287">
        <v>6</v>
      </c>
      <c r="G18" s="589">
        <f>'3b. Feeder Status-2023'!M59+'3b. Feeder Status-2023'!M60+'3b. Feeder Status-2023'!M61+'3b. Feeder Status-2023'!M62</f>
        <v>3901</v>
      </c>
      <c r="H18" s="589">
        <f>('3b. Feeder Status-2023'!N59+'3b. Feeder Status-2023'!N60+'3b. Feeder Status-2023'!N61+'3b. Feeder Status-2023'!N62)/1000</f>
        <v>21430.281083161539</v>
      </c>
      <c r="I18" s="589">
        <v>14</v>
      </c>
    </row>
    <row r="19" spans="1:9" ht="15" thickBot="1" x14ac:dyDescent="0.35">
      <c r="A19" s="357" t="str">
        <f>$E$1</f>
        <v>Unitil</v>
      </c>
      <c r="B19" s="8" t="s">
        <v>440</v>
      </c>
      <c r="C19" s="259" t="s">
        <v>383</v>
      </c>
      <c r="D19" s="17" t="s">
        <v>383</v>
      </c>
      <c r="E19" s="291" t="s">
        <v>385</v>
      </c>
      <c r="F19" s="289">
        <v>5</v>
      </c>
      <c r="G19" s="591">
        <f>'3b. Feeder Status-2023'!M66+'3b. Feeder Status-2023'!M67+'3b. Feeder Status-2023'!M69+'3b. Feeder Status-2023'!M70</f>
        <v>1006</v>
      </c>
      <c r="H19" s="591">
        <f>('3b. Feeder Status-2023'!N66+'3b. Feeder Status-2023'!N67+'3b. Feeder Status-2023'!N69+'3b. Feeder Status-2023'!N70)/1000</f>
        <v>29196.520437820644</v>
      </c>
      <c r="I19" s="592">
        <v>17</v>
      </c>
    </row>
    <row r="20" spans="1:9" ht="15" thickBot="1" x14ac:dyDescent="0.35">
      <c r="A20" s="353" t="str">
        <f>$E$1</f>
        <v>Unitil</v>
      </c>
      <c r="B20" s="824" t="s">
        <v>31</v>
      </c>
      <c r="C20" s="260"/>
      <c r="D20" s="74"/>
      <c r="E20" s="261"/>
      <c r="F20" s="202">
        <f>SUM(F7:F19)</f>
        <v>43</v>
      </c>
      <c r="G20" s="202">
        <f>SUM(G7:G19)</f>
        <v>30627</v>
      </c>
      <c r="H20" s="202">
        <f>SUM(H7:H19)</f>
        <v>2300971.6203848361</v>
      </c>
      <c r="I20" s="851">
        <f>SUM(I7:I19)</f>
        <v>100</v>
      </c>
    </row>
    <row r="22" spans="1:9" x14ac:dyDescent="0.3">
      <c r="A22" s="247" t="s">
        <v>272</v>
      </c>
      <c r="C22" s="148"/>
      <c r="D22" s="148"/>
      <c r="E22" s="148"/>
      <c r="F22" s="148"/>
      <c r="G22" s="148"/>
      <c r="H22" s="148"/>
    </row>
  </sheetData>
  <printOptions headings="1" gridLines="1"/>
  <pageMargins left="0.7" right="0.7" top="0.75" bottom="0.75" header="0.3" footer="0.3"/>
  <pageSetup scale="5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I22"/>
  <sheetViews>
    <sheetView zoomScaleNormal="100" workbookViewId="0">
      <pane xSplit="2" ySplit="6" topLeftCell="F9" activePane="bottomRight" state="frozen"/>
      <selection activeCell="S57" sqref="S57"/>
      <selection pane="topRight" activeCell="S57" sqref="S57"/>
      <selection pane="bottomLeft" activeCell="S57" sqref="S57"/>
      <selection pane="bottomRight" activeCell="S57" sqref="S57"/>
    </sheetView>
  </sheetViews>
  <sheetFormatPr defaultColWidth="9.109375" defaultRowHeight="14.4" x14ac:dyDescent="0.3"/>
  <cols>
    <col min="1" max="1" width="23.33203125" style="123" customWidth="1"/>
    <col min="2" max="2" width="22.33203125" style="124" bestFit="1" customWidth="1"/>
    <col min="3" max="8" width="25.6640625" style="124" customWidth="1"/>
    <col min="9" max="9" width="25.6640625" style="123" customWidth="1"/>
    <col min="10" max="10" width="17" style="123" bestFit="1" customWidth="1"/>
    <col min="11" max="11" width="21.5546875" style="123" bestFit="1" customWidth="1"/>
    <col min="12" max="12" width="15.5546875" style="123" bestFit="1" customWidth="1"/>
    <col min="13" max="13" width="11.88671875" style="123" bestFit="1" customWidth="1"/>
    <col min="14" max="16384" width="9.109375" style="123"/>
  </cols>
  <sheetData>
    <row r="1" spans="1:9" x14ac:dyDescent="0.3">
      <c r="A1" s="1" t="s">
        <v>274</v>
      </c>
      <c r="B1" s="1" t="s">
        <v>264</v>
      </c>
      <c r="C1" s="192"/>
      <c r="D1" s="250" t="s">
        <v>2</v>
      </c>
      <c r="E1" s="250" t="s">
        <v>69</v>
      </c>
    </row>
    <row r="2" spans="1:9" x14ac:dyDescent="0.3">
      <c r="A2" s="1"/>
      <c r="B2" s="1"/>
      <c r="C2" s="192"/>
      <c r="D2" s="250" t="s">
        <v>4</v>
      </c>
      <c r="E2" s="265">
        <v>2024</v>
      </c>
      <c r="F2" s="123"/>
    </row>
    <row r="3" spans="1:9" x14ac:dyDescent="0.3">
      <c r="A3" s="1"/>
      <c r="C3" s="2"/>
      <c r="D3" s="2"/>
      <c r="E3" s="123"/>
    </row>
    <row r="4" spans="1:9" ht="15.75" customHeight="1" x14ac:dyDescent="0.3">
      <c r="A4" s="116" t="s">
        <v>265</v>
      </c>
      <c r="I4" s="25"/>
    </row>
    <row r="5" spans="1:9" ht="15" thickBot="1" x14ac:dyDescent="0.35"/>
    <row r="6" spans="1:9" ht="31.8" thickBot="1" x14ac:dyDescent="0.35">
      <c r="A6" s="354" t="s">
        <v>2</v>
      </c>
      <c r="B6" s="53" t="s">
        <v>14</v>
      </c>
      <c r="C6" s="55" t="s">
        <v>266</v>
      </c>
      <c r="D6" s="55" t="s">
        <v>267</v>
      </c>
      <c r="E6" s="75" t="s">
        <v>15</v>
      </c>
      <c r="F6" s="54" t="s">
        <v>268</v>
      </c>
      <c r="G6" s="55" t="s">
        <v>269</v>
      </c>
      <c r="H6" s="55" t="s">
        <v>270</v>
      </c>
      <c r="I6" s="53" t="s">
        <v>271</v>
      </c>
    </row>
    <row r="7" spans="1:9" ht="30" customHeight="1" x14ac:dyDescent="0.3">
      <c r="A7" s="355" t="str">
        <f>$E$1</f>
        <v>Unitil</v>
      </c>
      <c r="B7" s="349" t="s">
        <v>384</v>
      </c>
      <c r="C7" s="352" t="s">
        <v>383</v>
      </c>
      <c r="D7" s="352" t="s">
        <v>383</v>
      </c>
      <c r="E7" s="349" t="s">
        <v>385</v>
      </c>
      <c r="F7" s="285">
        <v>4</v>
      </c>
      <c r="G7" s="587">
        <f>'3b. Feeder Status-2023'!M15+'3b. Feeder Status-2023'!M16+'3b. Feeder Status-2023'!M17+'3b. Feeder Status-2023'!M18</f>
        <v>4276</v>
      </c>
      <c r="H7" s="837"/>
      <c r="I7" s="838"/>
    </row>
    <row r="8" spans="1:9" ht="30" customHeight="1" x14ac:dyDescent="0.3">
      <c r="A8" s="356" t="str">
        <f t="shared" ref="A8:A17" si="0">$E$1</f>
        <v>Unitil</v>
      </c>
      <c r="B8" s="20" t="s">
        <v>391</v>
      </c>
      <c r="C8" s="19" t="s">
        <v>383</v>
      </c>
      <c r="D8" s="19" t="s">
        <v>383</v>
      </c>
      <c r="E8" s="20" t="s">
        <v>385</v>
      </c>
      <c r="F8" s="287">
        <v>3</v>
      </c>
      <c r="G8" s="589">
        <f>'3b. Feeder Status-2023'!M20+'3b. Feeder Status-2023'!M21+'3b. Feeder Status-2023'!M22</f>
        <v>2908</v>
      </c>
      <c r="H8" s="839"/>
      <c r="I8" s="840"/>
    </row>
    <row r="9" spans="1:9" ht="30" customHeight="1" x14ac:dyDescent="0.3">
      <c r="A9" s="356" t="str">
        <f t="shared" si="0"/>
        <v>Unitil</v>
      </c>
      <c r="B9" s="20" t="s">
        <v>395</v>
      </c>
      <c r="C9" s="19" t="s">
        <v>383</v>
      </c>
      <c r="D9" s="19" t="s">
        <v>383</v>
      </c>
      <c r="E9" s="20" t="s">
        <v>395</v>
      </c>
      <c r="F9" s="287">
        <v>4</v>
      </c>
      <c r="G9" s="589">
        <f>'3b. Feeder Status-2023'!M24+'3b. Feeder Status-2023'!M25+'3b. Feeder Status-2023'!M26+'3b. Feeder Status-2023'!M27</f>
        <v>2110</v>
      </c>
      <c r="H9" s="839"/>
      <c r="I9" s="840"/>
    </row>
    <row r="10" spans="1:9" ht="32.25" customHeight="1" x14ac:dyDescent="0.3">
      <c r="A10" s="356" t="str">
        <f t="shared" si="0"/>
        <v>Unitil</v>
      </c>
      <c r="B10" s="20" t="s">
        <v>401</v>
      </c>
      <c r="C10" s="19" t="s">
        <v>383</v>
      </c>
      <c r="D10" s="19" t="s">
        <v>383</v>
      </c>
      <c r="E10" s="20" t="s">
        <v>385</v>
      </c>
      <c r="F10" s="287">
        <v>1</v>
      </c>
      <c r="G10" s="589">
        <f>'3b. Feeder Status-2023'!M29</f>
        <v>896</v>
      </c>
      <c r="H10" s="839"/>
      <c r="I10" s="840"/>
    </row>
    <row r="11" spans="1:9" x14ac:dyDescent="0.3">
      <c r="A11" s="356" t="str">
        <f t="shared" si="0"/>
        <v>Unitil</v>
      </c>
      <c r="B11" s="20" t="s">
        <v>403</v>
      </c>
      <c r="C11" s="19" t="s">
        <v>383</v>
      </c>
      <c r="D11" s="19" t="s">
        <v>383</v>
      </c>
      <c r="E11" s="20" t="s">
        <v>385</v>
      </c>
      <c r="F11" s="287">
        <v>1</v>
      </c>
      <c r="G11" s="589" t="s">
        <v>383</v>
      </c>
      <c r="H11" s="840"/>
      <c r="I11" s="840"/>
    </row>
    <row r="12" spans="1:9" x14ac:dyDescent="0.3">
      <c r="A12" s="356" t="str">
        <f t="shared" si="0"/>
        <v>Unitil</v>
      </c>
      <c r="B12" s="20" t="s">
        <v>404</v>
      </c>
      <c r="C12" s="19" t="s">
        <v>383</v>
      </c>
      <c r="D12" s="19" t="s">
        <v>383</v>
      </c>
      <c r="E12" s="20" t="s">
        <v>385</v>
      </c>
      <c r="F12" s="287">
        <v>8</v>
      </c>
      <c r="G12" s="589">
        <f>'3b. Feeder Status-2023'!M33+'3b. Feeder Status-2023'!M35+'3b. Feeder Status-2023'!M41</f>
        <v>2598</v>
      </c>
      <c r="H12" s="839"/>
      <c r="I12" s="840"/>
    </row>
    <row r="13" spans="1:9" x14ac:dyDescent="0.3">
      <c r="A13" s="356" t="str">
        <f t="shared" si="0"/>
        <v>Unitil</v>
      </c>
      <c r="B13" s="20" t="s">
        <v>414</v>
      </c>
      <c r="C13" s="19" t="s">
        <v>383</v>
      </c>
      <c r="D13" s="19" t="s">
        <v>383</v>
      </c>
      <c r="E13" s="20" t="s">
        <v>385</v>
      </c>
      <c r="F13" s="287">
        <v>3</v>
      </c>
      <c r="G13" s="589">
        <v>1872</v>
      </c>
      <c r="H13" s="839"/>
      <c r="I13" s="840"/>
    </row>
    <row r="14" spans="1:9" x14ac:dyDescent="0.3">
      <c r="A14" s="356" t="str">
        <f t="shared" si="0"/>
        <v>Unitil</v>
      </c>
      <c r="B14" s="20" t="s">
        <v>418</v>
      </c>
      <c r="C14" s="19" t="s">
        <v>383</v>
      </c>
      <c r="D14" s="19" t="s">
        <v>383</v>
      </c>
      <c r="E14" s="20" t="s">
        <v>418</v>
      </c>
      <c r="F14" s="287">
        <v>2</v>
      </c>
      <c r="G14" s="589">
        <v>3123</v>
      </c>
      <c r="H14" s="839"/>
      <c r="I14" s="840"/>
    </row>
    <row r="15" spans="1:9" x14ac:dyDescent="0.3">
      <c r="A15" s="356" t="str">
        <f t="shared" si="0"/>
        <v>Unitil</v>
      </c>
      <c r="B15" s="20" t="s">
        <v>422</v>
      </c>
      <c r="C15" s="19" t="s">
        <v>383</v>
      </c>
      <c r="D15" s="19" t="s">
        <v>383</v>
      </c>
      <c r="E15" s="20" t="s">
        <v>418</v>
      </c>
      <c r="F15" s="287">
        <v>3</v>
      </c>
      <c r="G15" s="589">
        <v>3790</v>
      </c>
      <c r="H15" s="839"/>
      <c r="I15" s="840"/>
    </row>
    <row r="16" spans="1:9" x14ac:dyDescent="0.3">
      <c r="A16" s="356" t="str">
        <f t="shared" si="0"/>
        <v>Unitil</v>
      </c>
      <c r="B16" s="20" t="s">
        <v>427</v>
      </c>
      <c r="C16" s="19" t="s">
        <v>383</v>
      </c>
      <c r="D16" s="19" t="s">
        <v>383</v>
      </c>
      <c r="E16" s="20" t="s">
        <v>385</v>
      </c>
      <c r="F16" s="287">
        <v>1</v>
      </c>
      <c r="G16" s="589">
        <v>796</v>
      </c>
      <c r="H16" s="839"/>
      <c r="I16" s="840"/>
    </row>
    <row r="17" spans="1:9" x14ac:dyDescent="0.3">
      <c r="A17" s="356" t="str">
        <f t="shared" si="0"/>
        <v>Unitil</v>
      </c>
      <c r="B17" s="20" t="s">
        <v>430</v>
      </c>
      <c r="C17" s="19" t="s">
        <v>383</v>
      </c>
      <c r="D17" s="19" t="s">
        <v>383</v>
      </c>
      <c r="E17" s="20" t="s">
        <v>395</v>
      </c>
      <c r="F17" s="287">
        <v>2</v>
      </c>
      <c r="G17" s="589">
        <v>3310</v>
      </c>
      <c r="H17" s="839"/>
      <c r="I17" s="840"/>
    </row>
    <row r="18" spans="1:9" x14ac:dyDescent="0.3">
      <c r="A18" s="356" t="str">
        <f>$E$1</f>
        <v>Unitil</v>
      </c>
      <c r="B18" s="20" t="s">
        <v>434</v>
      </c>
      <c r="C18" s="19" t="s">
        <v>383</v>
      </c>
      <c r="D18" s="19" t="s">
        <v>383</v>
      </c>
      <c r="E18" s="20" t="s">
        <v>385</v>
      </c>
      <c r="F18" s="287">
        <v>6</v>
      </c>
      <c r="G18" s="589">
        <v>3934</v>
      </c>
      <c r="H18" s="839"/>
      <c r="I18" s="840"/>
    </row>
    <row r="19" spans="1:9" ht="15" thickBot="1" x14ac:dyDescent="0.35">
      <c r="A19" s="357" t="str">
        <f>$E$1</f>
        <v>Unitil</v>
      </c>
      <c r="B19" s="8" t="s">
        <v>440</v>
      </c>
      <c r="C19" s="259" t="s">
        <v>383</v>
      </c>
      <c r="D19" s="17" t="s">
        <v>383</v>
      </c>
      <c r="E19" s="291" t="s">
        <v>385</v>
      </c>
      <c r="F19" s="289">
        <v>5</v>
      </c>
      <c r="G19" s="591">
        <v>1006</v>
      </c>
      <c r="H19" s="841"/>
      <c r="I19" s="842"/>
    </row>
    <row r="20" spans="1:9" ht="15" thickBot="1" x14ac:dyDescent="0.35">
      <c r="A20" s="353" t="str">
        <f>$E$1</f>
        <v>Unitil</v>
      </c>
      <c r="B20" s="824" t="s">
        <v>31</v>
      </c>
      <c r="C20" s="260"/>
      <c r="D20" s="74"/>
      <c r="E20" s="261"/>
      <c r="F20" s="202">
        <f>SUM(F7:F19)</f>
        <v>43</v>
      </c>
      <c r="G20" s="202">
        <f>SUM(G7:G19)</f>
        <v>30619</v>
      </c>
      <c r="H20" s="843"/>
      <c r="I20" s="843"/>
    </row>
    <row r="22" spans="1:9" x14ac:dyDescent="0.3">
      <c r="A22" s="247" t="s">
        <v>272</v>
      </c>
      <c r="C22" s="148"/>
      <c r="D22" s="148"/>
      <c r="E22" s="148"/>
      <c r="F22" s="148"/>
      <c r="G22" s="148"/>
      <c r="H22" s="148"/>
    </row>
  </sheetData>
  <printOptions headings="1" gridLines="1"/>
  <pageMargins left="0.7" right="0.7" top="0.75" bottom="0.75" header="0.3" footer="0.3"/>
  <pageSetup scale="53"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12"/>
  <sheetViews>
    <sheetView zoomScaleNormal="100" workbookViewId="0">
      <selection activeCell="S57" sqref="S57"/>
    </sheetView>
  </sheetViews>
  <sheetFormatPr defaultColWidth="9.109375" defaultRowHeight="14.4" x14ac:dyDescent="0.3"/>
  <cols>
    <col min="1" max="1" width="23.33203125" style="123" customWidth="1"/>
    <col min="2" max="2" width="22.33203125" style="124" bestFit="1" customWidth="1"/>
    <col min="3" max="8" width="25.6640625" style="124" customWidth="1"/>
    <col min="9" max="9" width="25.6640625" style="123" customWidth="1"/>
    <col min="10" max="10" width="17" style="123" bestFit="1" customWidth="1"/>
    <col min="11" max="11" width="21.5546875" style="123" bestFit="1" customWidth="1"/>
    <col min="12" max="12" width="15.5546875" style="123" bestFit="1" customWidth="1"/>
    <col min="13" max="13" width="11.88671875" style="123" bestFit="1" customWidth="1"/>
    <col min="14" max="16384" width="9.109375" style="123"/>
  </cols>
  <sheetData>
    <row r="1" spans="1:9" x14ac:dyDescent="0.3">
      <c r="A1" s="1" t="s">
        <v>275</v>
      </c>
      <c r="B1" s="1" t="s">
        <v>264</v>
      </c>
      <c r="C1" s="192"/>
      <c r="D1" s="250" t="s">
        <v>2</v>
      </c>
      <c r="E1" s="250" t="s">
        <v>3</v>
      </c>
    </row>
    <row r="2" spans="1:9" x14ac:dyDescent="0.3">
      <c r="A2" s="1"/>
      <c r="B2" s="1"/>
      <c r="C2" s="192"/>
      <c r="D2" s="250" t="s">
        <v>4</v>
      </c>
      <c r="E2" s="265">
        <v>2025</v>
      </c>
      <c r="F2" s="123"/>
    </row>
    <row r="3" spans="1:9" x14ac:dyDescent="0.3">
      <c r="A3" s="1"/>
      <c r="C3" s="2"/>
      <c r="D3" s="2"/>
      <c r="E3" s="123"/>
    </row>
    <row r="4" spans="1:9" ht="15.75" customHeight="1" x14ac:dyDescent="0.3">
      <c r="A4" s="116" t="s">
        <v>265</v>
      </c>
      <c r="I4" s="25"/>
    </row>
    <row r="5" spans="1:9" ht="15" thickBot="1" x14ac:dyDescent="0.35"/>
    <row r="6" spans="1:9" ht="31.8" thickBot="1" x14ac:dyDescent="0.35">
      <c r="A6" s="354" t="s">
        <v>2</v>
      </c>
      <c r="B6" s="53" t="s">
        <v>14</v>
      </c>
      <c r="C6" s="55" t="s">
        <v>266</v>
      </c>
      <c r="D6" s="55" t="s">
        <v>267</v>
      </c>
      <c r="E6" s="75" t="s">
        <v>15</v>
      </c>
      <c r="F6" s="54" t="s">
        <v>268</v>
      </c>
      <c r="G6" s="55" t="s">
        <v>269</v>
      </c>
      <c r="H6" s="55" t="s">
        <v>270</v>
      </c>
      <c r="I6" s="53" t="s">
        <v>271</v>
      </c>
    </row>
    <row r="7" spans="1:9" ht="30" customHeight="1" x14ac:dyDescent="0.3">
      <c r="A7" s="355" t="str">
        <f>$E$1</f>
        <v>[Enter Company Name]</v>
      </c>
      <c r="B7" s="349" t="s">
        <v>20</v>
      </c>
      <c r="C7" s="352"/>
      <c r="D7" s="352"/>
      <c r="E7" s="349"/>
      <c r="F7" s="285"/>
      <c r="G7" s="285"/>
      <c r="H7" s="286"/>
      <c r="I7" s="285"/>
    </row>
    <row r="8" spans="1:9" ht="30" customHeight="1" x14ac:dyDescent="0.3">
      <c r="A8" s="356" t="str">
        <f>$E$1</f>
        <v>[Enter Company Name]</v>
      </c>
      <c r="B8" s="20" t="s">
        <v>24</v>
      </c>
      <c r="C8" s="19"/>
      <c r="D8" s="19"/>
      <c r="E8" s="20"/>
      <c r="F8" s="287"/>
      <c r="G8" s="287"/>
      <c r="H8" s="288"/>
      <c r="I8" s="287"/>
    </row>
    <row r="9" spans="1:9" ht="30" customHeight="1" thickBot="1" x14ac:dyDescent="0.35">
      <c r="A9" s="357" t="str">
        <f>$E$1</f>
        <v>[Enter Company Name]</v>
      </c>
      <c r="B9" s="8" t="s">
        <v>28</v>
      </c>
      <c r="C9" s="259"/>
      <c r="D9" s="17"/>
      <c r="E9" s="291"/>
      <c r="F9" s="289"/>
      <c r="G9" s="289"/>
      <c r="H9" s="289"/>
      <c r="I9" s="290"/>
    </row>
    <row r="10" spans="1:9" ht="32.25" customHeight="1" thickBot="1" x14ac:dyDescent="0.35">
      <c r="A10" s="353" t="str">
        <f>$E$1</f>
        <v>[Enter Company Name]</v>
      </c>
      <c r="B10" s="437" t="s">
        <v>31</v>
      </c>
      <c r="C10" s="260"/>
      <c r="D10" s="74"/>
      <c r="E10" s="261"/>
      <c r="F10" s="202">
        <f>SUM(F7:F9)</f>
        <v>0</v>
      </c>
      <c r="G10" s="202">
        <f>SUM(G7:G9)</f>
        <v>0</v>
      </c>
      <c r="H10" s="202">
        <f>SUM(H7:H9)</f>
        <v>0</v>
      </c>
      <c r="I10" s="202">
        <f>SUM(I7:I9)</f>
        <v>0</v>
      </c>
    </row>
    <row r="12" spans="1:9" x14ac:dyDescent="0.3">
      <c r="A12" s="247" t="s">
        <v>272</v>
      </c>
      <c r="C12" s="148"/>
      <c r="D12" s="148"/>
      <c r="E12" s="148"/>
      <c r="F12" s="148"/>
      <c r="G12" s="148"/>
      <c r="H12" s="148"/>
    </row>
  </sheetData>
  <printOptions headings="1" gridLines="1"/>
  <pageMargins left="0.7" right="0.7" top="0.75" bottom="0.75" header="0.3" footer="0.3"/>
  <pageSetup scale="5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2"/>
    <pageSetUpPr fitToPage="1"/>
  </sheetPr>
  <dimension ref="A1:BB68"/>
  <sheetViews>
    <sheetView zoomScaleNormal="100" workbookViewId="0">
      <selection activeCell="S57" sqref="S57"/>
    </sheetView>
  </sheetViews>
  <sheetFormatPr defaultRowHeight="14.4" x14ac:dyDescent="0.3"/>
  <cols>
    <col min="1" max="1" width="23.33203125" style="123" customWidth="1"/>
    <col min="2" max="2" width="23.44140625" customWidth="1"/>
    <col min="3" max="3" width="23.5546875" customWidth="1"/>
    <col min="4" max="4" width="15.6640625" customWidth="1"/>
    <col min="5" max="5" width="24" customWidth="1"/>
    <col min="6" max="6" width="24.109375" bestFit="1" customWidth="1"/>
    <col min="7" max="7" width="22.5546875" bestFit="1" customWidth="1"/>
    <col min="8" max="8" width="20.6640625" bestFit="1" customWidth="1"/>
    <col min="9" max="9" width="87" customWidth="1"/>
  </cols>
  <sheetData>
    <row r="1" spans="1:9" x14ac:dyDescent="0.3">
      <c r="A1" s="1" t="s">
        <v>276</v>
      </c>
      <c r="B1" s="1" t="s">
        <v>277</v>
      </c>
      <c r="C1" s="2"/>
      <c r="D1" s="250" t="s">
        <v>2</v>
      </c>
      <c r="E1" s="250" t="str">
        <f>'1a. Incremental Deployment-2022'!E1</f>
        <v>Unitil</v>
      </c>
      <c r="F1" s="123"/>
      <c r="G1" s="123"/>
      <c r="H1" s="123"/>
      <c r="I1" s="123"/>
    </row>
    <row r="2" spans="1:9" s="123" customFormat="1" x14ac:dyDescent="0.3">
      <c r="A2" s="1"/>
      <c r="B2" s="1"/>
      <c r="C2" s="2"/>
      <c r="D2" s="250" t="s">
        <v>4</v>
      </c>
      <c r="E2" s="265">
        <v>2023</v>
      </c>
    </row>
    <row r="4" spans="1:9" ht="15" thickBot="1" x14ac:dyDescent="0.35">
      <c r="B4" s="123"/>
      <c r="C4" s="123"/>
      <c r="D4" s="123"/>
      <c r="E4" s="123"/>
      <c r="F4" s="123"/>
      <c r="G4" s="123"/>
      <c r="H4" s="123"/>
      <c r="I4" s="123"/>
    </row>
    <row r="5" spans="1:9" ht="15" customHeight="1" thickBot="1" x14ac:dyDescent="0.35">
      <c r="A5" s="992" t="s">
        <v>53</v>
      </c>
      <c r="B5" s="993"/>
      <c r="C5" s="994"/>
      <c r="D5" s="890" t="s">
        <v>63</v>
      </c>
      <c r="E5" s="909"/>
      <c r="F5" s="909"/>
      <c r="G5" s="909"/>
      <c r="H5" s="909"/>
      <c r="I5" s="891"/>
    </row>
    <row r="6" spans="1:9" ht="58.2" thickBot="1" x14ac:dyDescent="0.35">
      <c r="A6" s="343" t="s">
        <v>2</v>
      </c>
      <c r="B6" s="102" t="s">
        <v>14</v>
      </c>
      <c r="C6" s="103" t="s">
        <v>278</v>
      </c>
      <c r="D6" s="434" t="s">
        <v>279</v>
      </c>
      <c r="E6" s="100" t="s">
        <v>280</v>
      </c>
      <c r="F6" s="109" t="s">
        <v>281</v>
      </c>
      <c r="G6" s="100" t="s">
        <v>282</v>
      </c>
      <c r="H6" s="434" t="s">
        <v>283</v>
      </c>
      <c r="I6" s="101" t="s">
        <v>284</v>
      </c>
    </row>
    <row r="7" spans="1:9" s="123" customFormat="1" x14ac:dyDescent="0.3">
      <c r="A7" s="345" t="str">
        <f t="shared" ref="A7:A63" si="0">$E$1</f>
        <v>Unitil</v>
      </c>
      <c r="B7" s="91" t="s">
        <v>384</v>
      </c>
      <c r="C7" s="648" t="s">
        <v>386</v>
      </c>
      <c r="D7" s="769" t="s">
        <v>504</v>
      </c>
      <c r="E7" s="770" t="s">
        <v>383</v>
      </c>
      <c r="F7" s="769" t="s">
        <v>383</v>
      </c>
      <c r="G7" s="770" t="s">
        <v>383</v>
      </c>
      <c r="H7" s="769" t="s">
        <v>383</v>
      </c>
      <c r="I7" s="771" t="s">
        <v>505</v>
      </c>
    </row>
    <row r="8" spans="1:9" s="123" customFormat="1" x14ac:dyDescent="0.3">
      <c r="A8" s="346" t="str">
        <f t="shared" si="0"/>
        <v>Unitil</v>
      </c>
      <c r="B8" s="128" t="s">
        <v>384</v>
      </c>
      <c r="C8" s="58" t="s">
        <v>388</v>
      </c>
      <c r="D8" s="772" t="s">
        <v>504</v>
      </c>
      <c r="E8" s="773" t="s">
        <v>383</v>
      </c>
      <c r="F8" s="772" t="s">
        <v>383</v>
      </c>
      <c r="G8" s="773" t="s">
        <v>383</v>
      </c>
      <c r="H8" s="772" t="s">
        <v>383</v>
      </c>
      <c r="I8" s="774" t="s">
        <v>505</v>
      </c>
    </row>
    <row r="9" spans="1:9" s="123" customFormat="1" x14ac:dyDescent="0.3">
      <c r="A9" s="346" t="str">
        <f t="shared" si="0"/>
        <v>Unitil</v>
      </c>
      <c r="B9" s="128" t="s">
        <v>384</v>
      </c>
      <c r="C9" s="58" t="s">
        <v>389</v>
      </c>
      <c r="D9" s="772" t="s">
        <v>504</v>
      </c>
      <c r="E9" s="773" t="s">
        <v>383</v>
      </c>
      <c r="F9" s="772" t="s">
        <v>383</v>
      </c>
      <c r="G9" s="773" t="s">
        <v>383</v>
      </c>
      <c r="H9" s="772" t="s">
        <v>383</v>
      </c>
      <c r="I9" s="774" t="s">
        <v>505</v>
      </c>
    </row>
    <row r="10" spans="1:9" s="123" customFormat="1" x14ac:dyDescent="0.3">
      <c r="A10" s="346" t="str">
        <f t="shared" si="0"/>
        <v>Unitil</v>
      </c>
      <c r="B10" s="128" t="s">
        <v>384</v>
      </c>
      <c r="C10" s="58" t="s">
        <v>390</v>
      </c>
      <c r="D10" s="772" t="s">
        <v>504</v>
      </c>
      <c r="E10" s="773" t="s">
        <v>383</v>
      </c>
      <c r="F10" s="772" t="s">
        <v>383</v>
      </c>
      <c r="G10" s="773" t="s">
        <v>383</v>
      </c>
      <c r="H10" s="772" t="s">
        <v>383</v>
      </c>
      <c r="I10" s="774" t="s">
        <v>505</v>
      </c>
    </row>
    <row r="11" spans="1:9" s="123" customFormat="1" x14ac:dyDescent="0.3">
      <c r="A11" s="346" t="str">
        <f t="shared" si="0"/>
        <v>Unitil</v>
      </c>
      <c r="B11" s="128" t="s">
        <v>384</v>
      </c>
      <c r="C11" s="496"/>
      <c r="D11" s="496"/>
      <c r="E11" s="496"/>
      <c r="F11" s="496"/>
      <c r="G11" s="496"/>
      <c r="H11" s="496"/>
      <c r="I11" s="496"/>
    </row>
    <row r="12" spans="1:9" s="123" customFormat="1" x14ac:dyDescent="0.3">
      <c r="A12" s="346" t="str">
        <f t="shared" si="0"/>
        <v>Unitil</v>
      </c>
      <c r="B12" s="128" t="s">
        <v>391</v>
      </c>
      <c r="C12" s="58" t="s">
        <v>392</v>
      </c>
      <c r="D12" s="772" t="s">
        <v>504</v>
      </c>
      <c r="E12" s="773" t="s">
        <v>383</v>
      </c>
      <c r="F12" s="772" t="s">
        <v>383</v>
      </c>
      <c r="G12" s="773" t="s">
        <v>383</v>
      </c>
      <c r="H12" s="772" t="s">
        <v>383</v>
      </c>
      <c r="I12" s="774" t="s">
        <v>505</v>
      </c>
    </row>
    <row r="13" spans="1:9" s="123" customFormat="1" x14ac:dyDescent="0.3">
      <c r="A13" s="346" t="str">
        <f t="shared" si="0"/>
        <v>Unitil</v>
      </c>
      <c r="B13" s="128" t="s">
        <v>391</v>
      </c>
      <c r="C13" s="58" t="s">
        <v>393</v>
      </c>
      <c r="D13" s="772" t="s">
        <v>504</v>
      </c>
      <c r="E13" s="773" t="s">
        <v>383</v>
      </c>
      <c r="F13" s="772" t="s">
        <v>383</v>
      </c>
      <c r="G13" s="773" t="s">
        <v>383</v>
      </c>
      <c r="H13" s="772" t="s">
        <v>383</v>
      </c>
      <c r="I13" s="774" t="s">
        <v>505</v>
      </c>
    </row>
    <row r="14" spans="1:9" s="123" customFormat="1" x14ac:dyDescent="0.3">
      <c r="A14" s="346" t="str">
        <f t="shared" si="0"/>
        <v>Unitil</v>
      </c>
      <c r="B14" s="128" t="s">
        <v>391</v>
      </c>
      <c r="C14" s="58" t="s">
        <v>394</v>
      </c>
      <c r="D14" s="772" t="s">
        <v>504</v>
      </c>
      <c r="E14" s="773" t="s">
        <v>383</v>
      </c>
      <c r="F14" s="772" t="s">
        <v>383</v>
      </c>
      <c r="G14" s="773" t="s">
        <v>383</v>
      </c>
      <c r="H14" s="772" t="s">
        <v>383</v>
      </c>
      <c r="I14" s="774" t="s">
        <v>505</v>
      </c>
    </row>
    <row r="15" spans="1:9" s="123" customFormat="1" x14ac:dyDescent="0.3">
      <c r="A15" s="346" t="str">
        <f t="shared" si="0"/>
        <v>Unitil</v>
      </c>
      <c r="B15" s="128" t="s">
        <v>391</v>
      </c>
      <c r="C15" s="496"/>
      <c r="D15" s="496"/>
      <c r="E15" s="496"/>
      <c r="F15" s="496"/>
      <c r="G15" s="496"/>
      <c r="H15" s="496"/>
      <c r="I15" s="496"/>
    </row>
    <row r="16" spans="1:9" s="123" customFormat="1" ht="28.8" x14ac:dyDescent="0.3">
      <c r="A16" s="346" t="str">
        <f t="shared" si="0"/>
        <v>Unitil</v>
      </c>
      <c r="B16" s="128" t="s">
        <v>395</v>
      </c>
      <c r="C16" s="58" t="s">
        <v>396</v>
      </c>
      <c r="D16" s="772" t="s">
        <v>448</v>
      </c>
      <c r="E16" s="773">
        <v>0</v>
      </c>
      <c r="F16" s="773">
        <v>0</v>
      </c>
      <c r="G16" s="773">
        <v>0</v>
      </c>
      <c r="H16" s="773">
        <v>0</v>
      </c>
      <c r="I16" s="774" t="s">
        <v>536</v>
      </c>
    </row>
    <row r="17" spans="1:9" s="123" customFormat="1" ht="28.8" x14ac:dyDescent="0.3">
      <c r="A17" s="346" t="str">
        <f t="shared" si="0"/>
        <v>Unitil</v>
      </c>
      <c r="B17" s="128" t="s">
        <v>395</v>
      </c>
      <c r="C17" s="58" t="s">
        <v>397</v>
      </c>
      <c r="D17" s="772" t="s">
        <v>448</v>
      </c>
      <c r="E17" s="773">
        <v>0</v>
      </c>
      <c r="F17" s="773">
        <v>0</v>
      </c>
      <c r="G17" s="773">
        <v>0</v>
      </c>
      <c r="H17" s="773">
        <v>0</v>
      </c>
      <c r="I17" s="774" t="s">
        <v>536</v>
      </c>
    </row>
    <row r="18" spans="1:9" s="123" customFormat="1" ht="28.8" x14ac:dyDescent="0.3">
      <c r="A18" s="346" t="str">
        <f t="shared" si="0"/>
        <v>Unitil</v>
      </c>
      <c r="B18" s="128" t="s">
        <v>395</v>
      </c>
      <c r="C18" s="58" t="s">
        <v>398</v>
      </c>
      <c r="D18" s="772" t="s">
        <v>448</v>
      </c>
      <c r="E18" s="773">
        <v>0</v>
      </c>
      <c r="F18" s="773">
        <v>0</v>
      </c>
      <c r="G18" s="773">
        <v>0</v>
      </c>
      <c r="H18" s="773">
        <v>0</v>
      </c>
      <c r="I18" s="774" t="s">
        <v>536</v>
      </c>
    </row>
    <row r="19" spans="1:9" s="123" customFormat="1" ht="28.8" x14ac:dyDescent="0.3">
      <c r="A19" s="346" t="str">
        <f t="shared" si="0"/>
        <v>Unitil</v>
      </c>
      <c r="B19" s="128" t="s">
        <v>395</v>
      </c>
      <c r="C19" s="58" t="s">
        <v>400</v>
      </c>
      <c r="D19" s="772" t="s">
        <v>448</v>
      </c>
      <c r="E19" s="773">
        <v>0</v>
      </c>
      <c r="F19" s="773">
        <v>0</v>
      </c>
      <c r="G19" s="773">
        <v>0</v>
      </c>
      <c r="H19" s="773">
        <v>0</v>
      </c>
      <c r="I19" s="774" t="s">
        <v>536</v>
      </c>
    </row>
    <row r="20" spans="1:9" s="123" customFormat="1" x14ac:dyDescent="0.3">
      <c r="A20" s="346" t="str">
        <f t="shared" si="0"/>
        <v>Unitil</v>
      </c>
      <c r="B20" s="128" t="s">
        <v>395</v>
      </c>
      <c r="C20" s="496"/>
      <c r="D20" s="496"/>
      <c r="E20" s="496"/>
      <c r="F20" s="496"/>
      <c r="G20" s="496"/>
      <c r="H20" s="496"/>
      <c r="I20" s="496"/>
    </row>
    <row r="21" spans="1:9" s="123" customFormat="1" x14ac:dyDescent="0.3">
      <c r="A21" s="346" t="str">
        <f t="shared" si="0"/>
        <v>Unitil</v>
      </c>
      <c r="B21" s="128" t="s">
        <v>401</v>
      </c>
      <c r="C21" s="58" t="s">
        <v>402</v>
      </c>
      <c r="D21" s="772" t="s">
        <v>504</v>
      </c>
      <c r="E21" s="773" t="s">
        <v>383</v>
      </c>
      <c r="F21" s="772" t="s">
        <v>383</v>
      </c>
      <c r="G21" s="773" t="s">
        <v>383</v>
      </c>
      <c r="H21" s="772" t="s">
        <v>383</v>
      </c>
      <c r="I21" s="774" t="s">
        <v>505</v>
      </c>
    </row>
    <row r="22" spans="1:9" s="123" customFormat="1" x14ac:dyDescent="0.3">
      <c r="A22" s="346" t="str">
        <f t="shared" si="0"/>
        <v>Unitil</v>
      </c>
      <c r="B22" s="128" t="s">
        <v>401</v>
      </c>
      <c r="C22" s="496"/>
      <c r="D22" s="496"/>
      <c r="E22" s="496"/>
      <c r="F22" s="496"/>
      <c r="G22" s="496"/>
      <c r="H22" s="496"/>
      <c r="I22" s="496"/>
    </row>
    <row r="23" spans="1:9" s="123" customFormat="1" x14ac:dyDescent="0.3">
      <c r="A23" s="346" t="str">
        <f t="shared" si="0"/>
        <v>Unitil</v>
      </c>
      <c r="B23" s="128" t="s">
        <v>403</v>
      </c>
      <c r="C23" s="58">
        <v>1341</v>
      </c>
      <c r="D23" s="772" t="s">
        <v>504</v>
      </c>
      <c r="E23" s="773" t="s">
        <v>383</v>
      </c>
      <c r="F23" s="772" t="s">
        <v>383</v>
      </c>
      <c r="G23" s="773" t="s">
        <v>383</v>
      </c>
      <c r="H23" s="772" t="s">
        <v>383</v>
      </c>
      <c r="I23" s="774" t="s">
        <v>505</v>
      </c>
    </row>
    <row r="24" spans="1:9" s="123" customFormat="1" x14ac:dyDescent="0.3">
      <c r="A24" s="346" t="str">
        <f t="shared" si="0"/>
        <v>Unitil</v>
      </c>
      <c r="B24" s="128" t="s">
        <v>403</v>
      </c>
      <c r="C24" s="496"/>
      <c r="D24" s="496"/>
      <c r="E24" s="496"/>
      <c r="F24" s="496"/>
      <c r="G24" s="496"/>
      <c r="H24" s="496"/>
      <c r="I24" s="496"/>
    </row>
    <row r="25" spans="1:9" s="123" customFormat="1" x14ac:dyDescent="0.3">
      <c r="A25" s="346" t="str">
        <f t="shared" si="0"/>
        <v>Unitil</v>
      </c>
      <c r="B25" s="128" t="s">
        <v>404</v>
      </c>
      <c r="C25" s="58" t="s">
        <v>405</v>
      </c>
      <c r="D25" s="772" t="s">
        <v>504</v>
      </c>
      <c r="E25" s="773" t="s">
        <v>383</v>
      </c>
      <c r="F25" s="772" t="s">
        <v>383</v>
      </c>
      <c r="G25" s="773" t="s">
        <v>383</v>
      </c>
      <c r="H25" s="772" t="s">
        <v>383</v>
      </c>
      <c r="I25" s="774" t="s">
        <v>505</v>
      </c>
    </row>
    <row r="26" spans="1:9" s="123" customFormat="1" x14ac:dyDescent="0.3">
      <c r="A26" s="346" t="str">
        <f t="shared" si="0"/>
        <v>Unitil</v>
      </c>
      <c r="B26" s="128" t="s">
        <v>404</v>
      </c>
      <c r="C26" s="58" t="s">
        <v>406</v>
      </c>
      <c r="D26" s="772" t="s">
        <v>504</v>
      </c>
      <c r="E26" s="773" t="s">
        <v>383</v>
      </c>
      <c r="F26" s="772" t="s">
        <v>383</v>
      </c>
      <c r="G26" s="773" t="s">
        <v>383</v>
      </c>
      <c r="H26" s="772" t="s">
        <v>383</v>
      </c>
      <c r="I26" s="774" t="s">
        <v>505</v>
      </c>
    </row>
    <row r="27" spans="1:9" s="123" customFormat="1" x14ac:dyDescent="0.3">
      <c r="A27" s="346" t="str">
        <f t="shared" si="0"/>
        <v>Unitil</v>
      </c>
      <c r="B27" s="128" t="s">
        <v>404</v>
      </c>
      <c r="C27" s="58" t="s">
        <v>407</v>
      </c>
      <c r="D27" s="772" t="s">
        <v>504</v>
      </c>
      <c r="E27" s="773" t="s">
        <v>383</v>
      </c>
      <c r="F27" s="772" t="s">
        <v>383</v>
      </c>
      <c r="G27" s="773" t="s">
        <v>383</v>
      </c>
      <c r="H27" s="772" t="s">
        <v>383</v>
      </c>
      <c r="I27" s="774" t="s">
        <v>505</v>
      </c>
    </row>
    <row r="28" spans="1:9" s="123" customFormat="1" x14ac:dyDescent="0.3">
      <c r="A28" s="346" t="str">
        <f t="shared" si="0"/>
        <v>Unitil</v>
      </c>
      <c r="B28" s="128" t="s">
        <v>404</v>
      </c>
      <c r="C28" s="58" t="s">
        <v>408</v>
      </c>
      <c r="D28" s="772" t="s">
        <v>504</v>
      </c>
      <c r="E28" s="773" t="s">
        <v>383</v>
      </c>
      <c r="F28" s="772" t="s">
        <v>383</v>
      </c>
      <c r="G28" s="773" t="s">
        <v>383</v>
      </c>
      <c r="H28" s="772" t="s">
        <v>383</v>
      </c>
      <c r="I28" s="774" t="s">
        <v>505</v>
      </c>
    </row>
    <row r="29" spans="1:9" s="123" customFormat="1" x14ac:dyDescent="0.3">
      <c r="A29" s="346" t="str">
        <f t="shared" si="0"/>
        <v>Unitil</v>
      </c>
      <c r="B29" s="128" t="s">
        <v>404</v>
      </c>
      <c r="C29" s="58" t="s">
        <v>409</v>
      </c>
      <c r="D29" s="772" t="s">
        <v>504</v>
      </c>
      <c r="E29" s="773" t="s">
        <v>383</v>
      </c>
      <c r="F29" s="772" t="s">
        <v>383</v>
      </c>
      <c r="G29" s="773" t="s">
        <v>383</v>
      </c>
      <c r="H29" s="772" t="s">
        <v>383</v>
      </c>
      <c r="I29" s="774" t="s">
        <v>505</v>
      </c>
    </row>
    <row r="30" spans="1:9" s="123" customFormat="1" x14ac:dyDescent="0.3">
      <c r="A30" s="346" t="str">
        <f t="shared" si="0"/>
        <v>Unitil</v>
      </c>
      <c r="B30" s="128" t="s">
        <v>404</v>
      </c>
      <c r="C30" s="58" t="s">
        <v>410</v>
      </c>
      <c r="D30" s="772" t="s">
        <v>504</v>
      </c>
      <c r="E30" s="773" t="s">
        <v>383</v>
      </c>
      <c r="F30" s="772" t="s">
        <v>383</v>
      </c>
      <c r="G30" s="773" t="s">
        <v>383</v>
      </c>
      <c r="H30" s="772" t="s">
        <v>383</v>
      </c>
      <c r="I30" s="774" t="s">
        <v>505</v>
      </c>
    </row>
    <row r="31" spans="1:9" s="123" customFormat="1" x14ac:dyDescent="0.3">
      <c r="A31" s="346" t="str">
        <f t="shared" si="0"/>
        <v>Unitil</v>
      </c>
      <c r="B31" s="128" t="s">
        <v>404</v>
      </c>
      <c r="C31" s="58" t="s">
        <v>411</v>
      </c>
      <c r="D31" s="772" t="s">
        <v>504</v>
      </c>
      <c r="E31" s="773" t="s">
        <v>383</v>
      </c>
      <c r="F31" s="772" t="s">
        <v>383</v>
      </c>
      <c r="G31" s="773" t="s">
        <v>383</v>
      </c>
      <c r="H31" s="772" t="s">
        <v>383</v>
      </c>
      <c r="I31" s="774" t="s">
        <v>505</v>
      </c>
    </row>
    <row r="32" spans="1:9" s="123" customFormat="1" x14ac:dyDescent="0.3">
      <c r="A32" s="346" t="str">
        <f t="shared" si="0"/>
        <v>Unitil</v>
      </c>
      <c r="B32" s="128" t="s">
        <v>404</v>
      </c>
      <c r="C32" s="58" t="s">
        <v>412</v>
      </c>
      <c r="D32" s="772" t="s">
        <v>504</v>
      </c>
      <c r="E32" s="773" t="s">
        <v>383</v>
      </c>
      <c r="F32" s="772" t="s">
        <v>383</v>
      </c>
      <c r="G32" s="773" t="s">
        <v>383</v>
      </c>
      <c r="H32" s="772" t="s">
        <v>383</v>
      </c>
      <c r="I32" s="774" t="s">
        <v>505</v>
      </c>
    </row>
    <row r="33" spans="1:9" s="123" customFormat="1" x14ac:dyDescent="0.3">
      <c r="A33" s="346" t="str">
        <f t="shared" si="0"/>
        <v>Unitil</v>
      </c>
      <c r="B33" s="128" t="s">
        <v>404</v>
      </c>
      <c r="C33" s="58" t="s">
        <v>413</v>
      </c>
      <c r="D33" s="772" t="s">
        <v>504</v>
      </c>
      <c r="E33" s="773" t="s">
        <v>383</v>
      </c>
      <c r="F33" s="772" t="s">
        <v>383</v>
      </c>
      <c r="G33" s="773" t="s">
        <v>383</v>
      </c>
      <c r="H33" s="772" t="s">
        <v>383</v>
      </c>
      <c r="I33" s="774" t="s">
        <v>505</v>
      </c>
    </row>
    <row r="34" spans="1:9" s="123" customFormat="1" x14ac:dyDescent="0.3">
      <c r="A34" s="346" t="str">
        <f t="shared" si="0"/>
        <v>Unitil</v>
      </c>
      <c r="B34" s="128" t="s">
        <v>404</v>
      </c>
      <c r="C34" s="496"/>
      <c r="D34" s="496"/>
      <c r="E34" s="496"/>
      <c r="F34" s="496"/>
      <c r="G34" s="496"/>
      <c r="H34" s="496"/>
      <c r="I34" s="496"/>
    </row>
    <row r="35" spans="1:9" s="123" customFormat="1" x14ac:dyDescent="0.3">
      <c r="A35" s="346" t="str">
        <f t="shared" si="0"/>
        <v>Unitil</v>
      </c>
      <c r="B35" s="128" t="s">
        <v>414</v>
      </c>
      <c r="C35" s="58" t="s">
        <v>415</v>
      </c>
      <c r="D35" s="772" t="s">
        <v>504</v>
      </c>
      <c r="E35" s="773" t="s">
        <v>383</v>
      </c>
      <c r="F35" s="772" t="s">
        <v>383</v>
      </c>
      <c r="G35" s="773" t="s">
        <v>383</v>
      </c>
      <c r="H35" s="772" t="s">
        <v>383</v>
      </c>
      <c r="I35" s="774" t="s">
        <v>505</v>
      </c>
    </row>
    <row r="36" spans="1:9" s="123" customFormat="1" x14ac:dyDescent="0.3">
      <c r="A36" s="346" t="str">
        <f t="shared" si="0"/>
        <v>Unitil</v>
      </c>
      <c r="B36" s="128" t="s">
        <v>414</v>
      </c>
      <c r="C36" s="58" t="s">
        <v>416</v>
      </c>
      <c r="D36" s="772" t="s">
        <v>504</v>
      </c>
      <c r="E36" s="773" t="s">
        <v>383</v>
      </c>
      <c r="F36" s="772" t="s">
        <v>383</v>
      </c>
      <c r="G36" s="773" t="s">
        <v>383</v>
      </c>
      <c r="H36" s="772" t="s">
        <v>383</v>
      </c>
      <c r="I36" s="774" t="s">
        <v>505</v>
      </c>
    </row>
    <row r="37" spans="1:9" s="123" customFormat="1" x14ac:dyDescent="0.3">
      <c r="A37" s="346" t="str">
        <f t="shared" si="0"/>
        <v>Unitil</v>
      </c>
      <c r="B37" s="128" t="s">
        <v>414</v>
      </c>
      <c r="C37" s="58" t="s">
        <v>417</v>
      </c>
      <c r="D37" s="772" t="s">
        <v>504</v>
      </c>
      <c r="E37" s="773" t="s">
        <v>383</v>
      </c>
      <c r="F37" s="772" t="s">
        <v>383</v>
      </c>
      <c r="G37" s="773" t="s">
        <v>383</v>
      </c>
      <c r="H37" s="772" t="s">
        <v>383</v>
      </c>
      <c r="I37" s="774" t="s">
        <v>505</v>
      </c>
    </row>
    <row r="38" spans="1:9" s="123" customFormat="1" x14ac:dyDescent="0.3">
      <c r="A38" s="346" t="str">
        <f t="shared" si="0"/>
        <v>Unitil</v>
      </c>
      <c r="B38" s="128" t="s">
        <v>414</v>
      </c>
      <c r="C38" s="496"/>
      <c r="D38" s="496"/>
      <c r="E38" s="496"/>
      <c r="F38" s="496"/>
      <c r="G38" s="496"/>
      <c r="H38" s="496"/>
      <c r="I38" s="496"/>
    </row>
    <row r="39" spans="1:9" s="123" customFormat="1" x14ac:dyDescent="0.3">
      <c r="A39" s="346" t="str">
        <f t="shared" si="0"/>
        <v>Unitil</v>
      </c>
      <c r="B39" s="128" t="s">
        <v>418</v>
      </c>
      <c r="C39" s="58" t="s">
        <v>419</v>
      </c>
      <c r="D39" s="772" t="s">
        <v>504</v>
      </c>
      <c r="E39" s="773" t="s">
        <v>383</v>
      </c>
      <c r="F39" s="772" t="s">
        <v>383</v>
      </c>
      <c r="G39" s="773" t="s">
        <v>383</v>
      </c>
      <c r="H39" s="772" t="s">
        <v>383</v>
      </c>
      <c r="I39" s="774" t="s">
        <v>505</v>
      </c>
    </row>
    <row r="40" spans="1:9" s="123" customFormat="1" x14ac:dyDescent="0.3">
      <c r="A40" s="346" t="str">
        <f t="shared" si="0"/>
        <v>Unitil</v>
      </c>
      <c r="B40" s="128" t="s">
        <v>418</v>
      </c>
      <c r="C40" s="58" t="s">
        <v>420</v>
      </c>
      <c r="D40" s="772" t="s">
        <v>504</v>
      </c>
      <c r="E40" s="773" t="s">
        <v>383</v>
      </c>
      <c r="F40" s="772" t="s">
        <v>383</v>
      </c>
      <c r="G40" s="773" t="s">
        <v>383</v>
      </c>
      <c r="H40" s="772" t="s">
        <v>383</v>
      </c>
      <c r="I40" s="774" t="s">
        <v>505</v>
      </c>
    </row>
    <row r="41" spans="1:9" s="123" customFormat="1" x14ac:dyDescent="0.3">
      <c r="A41" s="346" t="str">
        <f t="shared" si="0"/>
        <v>Unitil</v>
      </c>
      <c r="B41" s="128" t="s">
        <v>418</v>
      </c>
      <c r="C41" s="496"/>
      <c r="D41" s="496"/>
      <c r="E41" s="496"/>
      <c r="F41" s="496"/>
      <c r="G41" s="496"/>
      <c r="H41" s="496"/>
      <c r="I41" s="496"/>
    </row>
    <row r="42" spans="1:9" s="123" customFormat="1" x14ac:dyDescent="0.3">
      <c r="A42" s="346" t="str">
        <f t="shared" si="0"/>
        <v>Unitil</v>
      </c>
      <c r="B42" s="128" t="s">
        <v>422</v>
      </c>
      <c r="C42" s="58" t="s">
        <v>423</v>
      </c>
      <c r="D42" s="772" t="s">
        <v>504</v>
      </c>
      <c r="E42" s="773" t="s">
        <v>383</v>
      </c>
      <c r="F42" s="772" t="s">
        <v>383</v>
      </c>
      <c r="G42" s="773" t="s">
        <v>383</v>
      </c>
      <c r="H42" s="772" t="s">
        <v>383</v>
      </c>
      <c r="I42" s="774" t="s">
        <v>505</v>
      </c>
    </row>
    <row r="43" spans="1:9" s="123" customFormat="1" x14ac:dyDescent="0.3">
      <c r="A43" s="346" t="str">
        <f t="shared" si="0"/>
        <v>Unitil</v>
      </c>
      <c r="B43" s="128" t="s">
        <v>422</v>
      </c>
      <c r="C43" s="58" t="s">
        <v>425</v>
      </c>
      <c r="D43" s="772" t="s">
        <v>504</v>
      </c>
      <c r="E43" s="773" t="s">
        <v>383</v>
      </c>
      <c r="F43" s="772" t="s">
        <v>383</v>
      </c>
      <c r="G43" s="773" t="s">
        <v>383</v>
      </c>
      <c r="H43" s="772" t="s">
        <v>383</v>
      </c>
      <c r="I43" s="774" t="s">
        <v>505</v>
      </c>
    </row>
    <row r="44" spans="1:9" s="123" customFormat="1" x14ac:dyDescent="0.3">
      <c r="A44" s="346" t="str">
        <f t="shared" si="0"/>
        <v>Unitil</v>
      </c>
      <c r="B44" s="128" t="s">
        <v>422</v>
      </c>
      <c r="C44" s="58" t="s">
        <v>426</v>
      </c>
      <c r="D44" s="772" t="s">
        <v>504</v>
      </c>
      <c r="E44" s="773" t="s">
        <v>383</v>
      </c>
      <c r="F44" s="772" t="s">
        <v>383</v>
      </c>
      <c r="G44" s="773" t="s">
        <v>383</v>
      </c>
      <c r="H44" s="772" t="s">
        <v>383</v>
      </c>
      <c r="I44" s="774" t="s">
        <v>505</v>
      </c>
    </row>
    <row r="45" spans="1:9" s="123" customFormat="1" x14ac:dyDescent="0.3">
      <c r="A45" s="346" t="str">
        <f t="shared" si="0"/>
        <v>Unitil</v>
      </c>
      <c r="B45" s="128" t="s">
        <v>422</v>
      </c>
      <c r="C45" s="496"/>
      <c r="D45" s="496"/>
      <c r="E45" s="496"/>
      <c r="F45" s="496"/>
      <c r="G45" s="496"/>
      <c r="H45" s="496"/>
      <c r="I45" s="496"/>
    </row>
    <row r="46" spans="1:9" s="123" customFormat="1" x14ac:dyDescent="0.3">
      <c r="A46" s="346" t="str">
        <f t="shared" si="0"/>
        <v>Unitil</v>
      </c>
      <c r="B46" s="128" t="s">
        <v>427</v>
      </c>
      <c r="C46" s="58" t="s">
        <v>428</v>
      </c>
      <c r="D46" s="772" t="s">
        <v>504</v>
      </c>
      <c r="E46" s="773" t="s">
        <v>383</v>
      </c>
      <c r="F46" s="772" t="s">
        <v>383</v>
      </c>
      <c r="G46" s="773" t="s">
        <v>383</v>
      </c>
      <c r="H46" s="772" t="s">
        <v>383</v>
      </c>
      <c r="I46" s="774" t="s">
        <v>505</v>
      </c>
    </row>
    <row r="47" spans="1:9" s="123" customFormat="1" x14ac:dyDescent="0.3">
      <c r="A47" s="346" t="str">
        <f t="shared" si="0"/>
        <v>Unitil</v>
      </c>
      <c r="B47" s="128" t="s">
        <v>427</v>
      </c>
      <c r="C47" s="496"/>
      <c r="D47" s="496"/>
      <c r="E47" s="496"/>
      <c r="F47" s="496"/>
      <c r="G47" s="496"/>
      <c r="H47" s="496"/>
      <c r="I47" s="496"/>
    </row>
    <row r="48" spans="1:9" s="123" customFormat="1" x14ac:dyDescent="0.3">
      <c r="A48" s="346" t="str">
        <f t="shared" si="0"/>
        <v>Unitil</v>
      </c>
      <c r="B48" s="128" t="s">
        <v>430</v>
      </c>
      <c r="C48" s="58" t="s">
        <v>431</v>
      </c>
      <c r="D48" s="772" t="s">
        <v>504</v>
      </c>
      <c r="E48" s="773" t="s">
        <v>383</v>
      </c>
      <c r="F48" s="772" t="s">
        <v>383</v>
      </c>
      <c r="G48" s="773" t="s">
        <v>383</v>
      </c>
      <c r="H48" s="772" t="s">
        <v>383</v>
      </c>
      <c r="I48" s="774" t="s">
        <v>505</v>
      </c>
    </row>
    <row r="49" spans="1:54" s="123" customFormat="1" x14ac:dyDescent="0.3">
      <c r="A49" s="346" t="str">
        <f t="shared" si="0"/>
        <v>Unitil</v>
      </c>
      <c r="B49" s="128" t="s">
        <v>430</v>
      </c>
      <c r="C49" s="58" t="s">
        <v>432</v>
      </c>
      <c r="D49" s="772" t="s">
        <v>504</v>
      </c>
      <c r="E49" s="773" t="s">
        <v>383</v>
      </c>
      <c r="F49" s="772" t="s">
        <v>383</v>
      </c>
      <c r="G49" s="773" t="s">
        <v>383</v>
      </c>
      <c r="H49" s="772" t="s">
        <v>383</v>
      </c>
      <c r="I49" s="774" t="s">
        <v>505</v>
      </c>
    </row>
    <row r="50" spans="1:54" s="123" customFormat="1" x14ac:dyDescent="0.3">
      <c r="A50" s="346" t="str">
        <f t="shared" si="0"/>
        <v>Unitil</v>
      </c>
      <c r="B50" s="128" t="s">
        <v>430</v>
      </c>
      <c r="C50" s="496"/>
      <c r="D50" s="496"/>
      <c r="E50" s="496"/>
      <c r="F50" s="496"/>
      <c r="G50" s="496"/>
      <c r="H50" s="496"/>
      <c r="I50" s="496"/>
    </row>
    <row r="51" spans="1:54" s="123" customFormat="1" x14ac:dyDescent="0.3">
      <c r="A51" s="346" t="str">
        <f t="shared" si="0"/>
        <v>Unitil</v>
      </c>
      <c r="B51" s="128" t="s">
        <v>434</v>
      </c>
      <c r="C51" s="58" t="s">
        <v>435</v>
      </c>
      <c r="D51" s="772" t="s">
        <v>448</v>
      </c>
      <c r="E51" s="773">
        <v>0</v>
      </c>
      <c r="F51" s="772">
        <v>0</v>
      </c>
      <c r="G51" s="773">
        <v>0</v>
      </c>
      <c r="H51" s="772">
        <v>0</v>
      </c>
      <c r="I51" s="774" t="s">
        <v>535</v>
      </c>
    </row>
    <row r="52" spans="1:54" s="123" customFormat="1" x14ac:dyDescent="0.3">
      <c r="A52" s="346" t="str">
        <f t="shared" si="0"/>
        <v>Unitil</v>
      </c>
      <c r="B52" s="128" t="s">
        <v>434</v>
      </c>
      <c r="C52" s="58" t="s">
        <v>436</v>
      </c>
      <c r="D52" s="772" t="s">
        <v>448</v>
      </c>
      <c r="E52" s="773">
        <v>0</v>
      </c>
      <c r="F52" s="772">
        <v>0</v>
      </c>
      <c r="G52" s="773">
        <v>0</v>
      </c>
      <c r="H52" s="772">
        <v>0</v>
      </c>
      <c r="I52" s="774" t="s">
        <v>535</v>
      </c>
    </row>
    <row r="53" spans="1:54" s="123" customFormat="1" x14ac:dyDescent="0.3">
      <c r="A53" s="346" t="str">
        <f t="shared" si="0"/>
        <v>Unitil</v>
      </c>
      <c r="B53" s="128" t="s">
        <v>434</v>
      </c>
      <c r="C53" s="58" t="s">
        <v>437</v>
      </c>
      <c r="D53" s="772" t="s">
        <v>448</v>
      </c>
      <c r="E53" s="773">
        <v>0</v>
      </c>
      <c r="F53" s="772">
        <v>0</v>
      </c>
      <c r="G53" s="773">
        <v>0</v>
      </c>
      <c r="H53" s="772">
        <v>0</v>
      </c>
      <c r="I53" s="774" t="s">
        <v>535</v>
      </c>
    </row>
    <row r="54" spans="1:54" s="123" customFormat="1" ht="15" customHeight="1" x14ac:dyDescent="0.3">
      <c r="A54" s="346" t="str">
        <f t="shared" si="0"/>
        <v>Unitil</v>
      </c>
      <c r="B54" s="128" t="s">
        <v>434</v>
      </c>
      <c r="C54" s="58" t="s">
        <v>439</v>
      </c>
      <c r="D54" s="772" t="s">
        <v>448</v>
      </c>
      <c r="E54" s="773">
        <v>0</v>
      </c>
      <c r="F54" s="772">
        <v>0</v>
      </c>
      <c r="G54" s="773">
        <v>0</v>
      </c>
      <c r="H54" s="772">
        <v>0</v>
      </c>
      <c r="I54" s="774" t="s">
        <v>535</v>
      </c>
      <c r="J54" s="99"/>
      <c r="K54" s="99"/>
      <c r="L54" s="99"/>
      <c r="M54" s="99"/>
      <c r="N54" s="99"/>
      <c r="O54" s="99"/>
      <c r="P54" s="99"/>
      <c r="Q54" s="99"/>
      <c r="R54" s="99"/>
      <c r="S54" s="99"/>
      <c r="AZ54" s="81"/>
      <c r="BA54" s="81"/>
      <c r="BB54" s="81"/>
    </row>
    <row r="55" spans="1:54" s="123" customFormat="1" ht="15" customHeight="1" x14ac:dyDescent="0.3">
      <c r="A55" s="346" t="str">
        <f t="shared" si="0"/>
        <v>Unitil</v>
      </c>
      <c r="B55" s="128" t="s">
        <v>434</v>
      </c>
      <c r="C55" s="58">
        <v>1303</v>
      </c>
      <c r="D55" s="772" t="s">
        <v>383</v>
      </c>
      <c r="E55" s="773" t="s">
        <v>383</v>
      </c>
      <c r="F55" s="772" t="s">
        <v>383</v>
      </c>
      <c r="G55" s="773" t="s">
        <v>383</v>
      </c>
      <c r="H55" s="772" t="s">
        <v>383</v>
      </c>
      <c r="I55" s="774" t="s">
        <v>383</v>
      </c>
    </row>
    <row r="56" spans="1:54" s="123" customFormat="1" x14ac:dyDescent="0.3">
      <c r="A56" s="346" t="str">
        <f t="shared" si="0"/>
        <v>Unitil</v>
      </c>
      <c r="B56" s="128" t="s">
        <v>434</v>
      </c>
      <c r="C56" s="58">
        <v>1309</v>
      </c>
      <c r="D56" s="772" t="s">
        <v>383</v>
      </c>
      <c r="E56" s="773" t="s">
        <v>383</v>
      </c>
      <c r="F56" s="772" t="s">
        <v>383</v>
      </c>
      <c r="G56" s="773" t="s">
        <v>383</v>
      </c>
      <c r="H56" s="772" t="s">
        <v>383</v>
      </c>
      <c r="I56" s="774" t="s">
        <v>383</v>
      </c>
    </row>
    <row r="57" spans="1:54" s="123" customFormat="1" x14ac:dyDescent="0.3">
      <c r="A57" s="346" t="str">
        <f t="shared" si="0"/>
        <v>Unitil</v>
      </c>
      <c r="B57" s="128" t="s">
        <v>434</v>
      </c>
      <c r="C57" s="496"/>
      <c r="D57" s="496"/>
      <c r="E57" s="496"/>
      <c r="F57" s="496"/>
      <c r="G57" s="496"/>
      <c r="H57" s="496"/>
      <c r="I57" s="496"/>
    </row>
    <row r="58" spans="1:54" s="123" customFormat="1" x14ac:dyDescent="0.3">
      <c r="A58" s="346" t="str">
        <f t="shared" si="0"/>
        <v>Unitil</v>
      </c>
      <c r="B58" s="128" t="s">
        <v>440</v>
      </c>
      <c r="C58" s="58" t="s">
        <v>441</v>
      </c>
      <c r="D58" s="772" t="s">
        <v>504</v>
      </c>
      <c r="E58" s="773" t="s">
        <v>383</v>
      </c>
      <c r="F58" s="772" t="s">
        <v>383</v>
      </c>
      <c r="G58" s="773" t="s">
        <v>383</v>
      </c>
      <c r="H58" s="772" t="s">
        <v>383</v>
      </c>
      <c r="I58" s="774" t="s">
        <v>505</v>
      </c>
    </row>
    <row r="59" spans="1:54" s="123" customFormat="1" x14ac:dyDescent="0.3">
      <c r="A59" s="346" t="str">
        <f t="shared" si="0"/>
        <v>Unitil</v>
      </c>
      <c r="B59" s="128" t="s">
        <v>440</v>
      </c>
      <c r="C59" s="58" t="s">
        <v>442</v>
      </c>
      <c r="D59" s="772" t="s">
        <v>504</v>
      </c>
      <c r="E59" s="773" t="s">
        <v>383</v>
      </c>
      <c r="F59" s="772" t="s">
        <v>383</v>
      </c>
      <c r="G59" s="773" t="s">
        <v>383</v>
      </c>
      <c r="H59" s="772" t="s">
        <v>383</v>
      </c>
      <c r="I59" s="774" t="s">
        <v>505</v>
      </c>
    </row>
    <row r="60" spans="1:54" s="123" customFormat="1" x14ac:dyDescent="0.3">
      <c r="A60" s="346" t="str">
        <f t="shared" si="0"/>
        <v>Unitil</v>
      </c>
      <c r="B60" s="128" t="s">
        <v>440</v>
      </c>
      <c r="C60" s="58" t="s">
        <v>443</v>
      </c>
      <c r="D60" s="772" t="s">
        <v>504</v>
      </c>
      <c r="E60" s="773" t="s">
        <v>383</v>
      </c>
      <c r="F60" s="772" t="s">
        <v>383</v>
      </c>
      <c r="G60" s="773" t="s">
        <v>383</v>
      </c>
      <c r="H60" s="772" t="s">
        <v>383</v>
      </c>
      <c r="I60" s="774" t="s">
        <v>505</v>
      </c>
    </row>
    <row r="61" spans="1:54" s="123" customFormat="1" x14ac:dyDescent="0.3">
      <c r="A61" s="346" t="str">
        <f t="shared" si="0"/>
        <v>Unitil</v>
      </c>
      <c r="B61" s="128" t="s">
        <v>440</v>
      </c>
      <c r="C61" s="58" t="s">
        <v>444</v>
      </c>
      <c r="D61" s="772" t="s">
        <v>504</v>
      </c>
      <c r="E61" s="773" t="s">
        <v>383</v>
      </c>
      <c r="F61" s="772" t="s">
        <v>383</v>
      </c>
      <c r="G61" s="773" t="s">
        <v>383</v>
      </c>
      <c r="H61" s="772" t="s">
        <v>383</v>
      </c>
      <c r="I61" s="774" t="s">
        <v>505</v>
      </c>
    </row>
    <row r="62" spans="1:54" s="123" customFormat="1" x14ac:dyDescent="0.3">
      <c r="A62" s="346" t="str">
        <f t="shared" si="0"/>
        <v>Unitil</v>
      </c>
      <c r="B62" s="128" t="s">
        <v>440</v>
      </c>
      <c r="C62" s="58" t="s">
        <v>445</v>
      </c>
      <c r="D62" s="772" t="s">
        <v>504</v>
      </c>
      <c r="E62" s="773" t="s">
        <v>383</v>
      </c>
      <c r="F62" s="772" t="s">
        <v>383</v>
      </c>
      <c r="G62" s="773" t="s">
        <v>383</v>
      </c>
      <c r="H62" s="772" t="s">
        <v>383</v>
      </c>
      <c r="I62" s="774" t="s">
        <v>505</v>
      </c>
    </row>
    <row r="63" spans="1:54" s="123" customFormat="1" ht="15" thickBot="1" x14ac:dyDescent="0.35">
      <c r="A63" s="347" t="str">
        <f t="shared" si="0"/>
        <v>Unitil</v>
      </c>
      <c r="B63" s="35" t="s">
        <v>440</v>
      </c>
      <c r="C63" s="503"/>
      <c r="D63" s="503"/>
      <c r="E63" s="503"/>
      <c r="F63" s="503"/>
      <c r="G63" s="503"/>
      <c r="H63" s="503"/>
      <c r="I63" s="503"/>
    </row>
    <row r="65" spans="1:54" x14ac:dyDescent="0.3">
      <c r="A65" s="1" t="s">
        <v>212</v>
      </c>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row>
    <row r="66" spans="1:54" s="123" customFormat="1" x14ac:dyDescent="0.3">
      <c r="A66" s="194" t="s">
        <v>33</v>
      </c>
      <c r="B66" s="152"/>
      <c r="C66" s="152"/>
      <c r="D66" s="152"/>
      <c r="E66" s="152"/>
      <c r="F66" s="152"/>
      <c r="G66" s="152"/>
      <c r="H66" s="152"/>
      <c r="I66" s="153"/>
    </row>
    <row r="67" spans="1:54" ht="15" customHeight="1" x14ac:dyDescent="0.3">
      <c r="A67" s="164" t="s">
        <v>285</v>
      </c>
      <c r="B67" s="158"/>
      <c r="C67" s="142"/>
      <c r="D67" s="142"/>
      <c r="E67" s="142"/>
      <c r="F67" s="142"/>
      <c r="G67" s="142"/>
      <c r="H67" s="142"/>
      <c r="I67" s="143"/>
      <c r="J67" s="99"/>
      <c r="K67" s="99"/>
      <c r="L67" s="99"/>
      <c r="M67" s="99"/>
      <c r="N67" s="99"/>
      <c r="O67" s="99"/>
      <c r="P67" s="99"/>
      <c r="Q67" s="99"/>
      <c r="R67" s="99"/>
      <c r="S67" s="99"/>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81"/>
      <c r="BA67" s="81"/>
      <c r="BB67" s="81"/>
    </row>
    <row r="68" spans="1:54" ht="15" customHeight="1" x14ac:dyDescent="0.3">
      <c r="A68" s="167" t="s">
        <v>286</v>
      </c>
      <c r="B68" s="168"/>
      <c r="C68" s="144"/>
      <c r="D68" s="144"/>
      <c r="E68" s="144"/>
      <c r="F68" s="144"/>
      <c r="G68" s="144"/>
      <c r="H68" s="144"/>
      <c r="I68" s="145"/>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row>
  </sheetData>
  <mergeCells count="2">
    <mergeCell ref="D5:I5"/>
    <mergeCell ref="A5:C5"/>
  </mergeCells>
  <printOptions headings="1" gridLines="1"/>
  <pageMargins left="0.7" right="0.7" top="0.75" bottom="0.75" header="0.3" footer="0.3"/>
  <pageSetup scale="4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69"/>
  <sheetViews>
    <sheetView topLeftCell="A40" zoomScaleNormal="100" workbookViewId="0">
      <selection activeCell="S57" sqref="S57"/>
    </sheetView>
  </sheetViews>
  <sheetFormatPr defaultRowHeight="14.4" x14ac:dyDescent="0.3"/>
  <cols>
    <col min="1" max="2" width="23.44140625" customWidth="1"/>
    <col min="3" max="3" width="18.88671875" customWidth="1"/>
    <col min="4" max="4" width="23.44140625" bestFit="1" customWidth="1"/>
    <col min="5" max="5" width="22.88671875" bestFit="1" customWidth="1"/>
    <col min="6" max="6" width="19.44140625" customWidth="1"/>
    <col min="7" max="7" width="15.5546875" customWidth="1"/>
    <col min="8" max="8" width="14.44140625" customWidth="1"/>
  </cols>
  <sheetData>
    <row r="1" spans="1:8" x14ac:dyDescent="0.3">
      <c r="A1" s="1" t="s">
        <v>287</v>
      </c>
      <c r="B1" s="1" t="s">
        <v>288</v>
      </c>
      <c r="C1" s="123"/>
      <c r="D1" s="250" t="s">
        <v>2</v>
      </c>
      <c r="E1" s="250" t="str">
        <f>'1a. Incremental Deployment-2022'!E1</f>
        <v>Unitil</v>
      </c>
      <c r="F1" s="123"/>
      <c r="G1" s="123"/>
      <c r="H1" s="123"/>
    </row>
    <row r="2" spans="1:8" x14ac:dyDescent="0.3">
      <c r="A2" s="123"/>
      <c r="B2" s="123"/>
      <c r="C2" s="123"/>
      <c r="D2" s="250" t="s">
        <v>4</v>
      </c>
      <c r="E2" s="265">
        <f>'1a. Incremental Deployment-2022'!E2</f>
        <v>2022</v>
      </c>
      <c r="F2" s="123"/>
      <c r="G2" s="123"/>
      <c r="H2" s="123"/>
    </row>
    <row r="3" spans="1:8" ht="15" thickBot="1" x14ac:dyDescent="0.35">
      <c r="A3" s="123"/>
      <c r="B3" s="123"/>
      <c r="C3" s="123"/>
      <c r="D3" s="123"/>
      <c r="E3" s="123"/>
      <c r="F3" s="123"/>
      <c r="G3" s="123"/>
      <c r="H3" s="123"/>
    </row>
    <row r="4" spans="1:8" s="123" customFormat="1" ht="15" customHeight="1" thickBot="1" x14ac:dyDescent="0.35">
      <c r="A4" s="240" t="s">
        <v>53</v>
      </c>
      <c r="B4" s="241"/>
      <c r="C4" s="896" t="s">
        <v>289</v>
      </c>
      <c r="D4" s="896"/>
      <c r="E4" s="896"/>
      <c r="F4" s="896"/>
      <c r="G4" s="896"/>
      <c r="H4" s="897"/>
    </row>
    <row r="5" spans="1:8" ht="43.8" thickBot="1" x14ac:dyDescent="0.35">
      <c r="A5" s="86" t="s">
        <v>14</v>
      </c>
      <c r="B5" s="87" t="s">
        <v>278</v>
      </c>
      <c r="C5" s="100" t="s">
        <v>290</v>
      </c>
      <c r="D5" s="109" t="s">
        <v>291</v>
      </c>
      <c r="E5" s="109" t="s">
        <v>292</v>
      </c>
      <c r="F5" s="109" t="s">
        <v>293</v>
      </c>
      <c r="G5" s="100" t="s">
        <v>294</v>
      </c>
      <c r="H5" s="101" t="s">
        <v>295</v>
      </c>
    </row>
    <row r="6" spans="1:8" s="123" customFormat="1" x14ac:dyDescent="0.3">
      <c r="A6" s="91" t="s">
        <v>384</v>
      </c>
      <c r="B6" s="249" t="s">
        <v>386</v>
      </c>
      <c r="C6" s="298" t="s">
        <v>506</v>
      </c>
      <c r="D6" s="299" t="s">
        <v>506</v>
      </c>
      <c r="E6" s="299" t="s">
        <v>506</v>
      </c>
      <c r="F6" s="299" t="s">
        <v>506</v>
      </c>
      <c r="G6" s="299" t="s">
        <v>506</v>
      </c>
      <c r="H6" s="295" t="e">
        <f>F6*G6</f>
        <v>#VALUE!</v>
      </c>
    </row>
    <row r="7" spans="1:8" s="123" customFormat="1" x14ac:dyDescent="0.3">
      <c r="A7" s="128" t="s">
        <v>384</v>
      </c>
      <c r="B7" s="16" t="s">
        <v>388</v>
      </c>
      <c r="C7" s="301" t="s">
        <v>506</v>
      </c>
      <c r="D7" s="302" t="s">
        <v>506</v>
      </c>
      <c r="E7" s="302" t="s">
        <v>506</v>
      </c>
      <c r="F7" s="302" t="s">
        <v>506</v>
      </c>
      <c r="G7" s="302" t="s">
        <v>506</v>
      </c>
      <c r="H7" s="296" t="e">
        <f>F7*G7</f>
        <v>#VALUE!</v>
      </c>
    </row>
    <row r="8" spans="1:8" s="123" customFormat="1" x14ac:dyDescent="0.3">
      <c r="A8" s="128" t="s">
        <v>384</v>
      </c>
      <c r="B8" s="16" t="s">
        <v>389</v>
      </c>
      <c r="C8" s="301" t="s">
        <v>506</v>
      </c>
      <c r="D8" s="302" t="s">
        <v>506</v>
      </c>
      <c r="E8" s="302" t="s">
        <v>506</v>
      </c>
      <c r="F8" s="302" t="s">
        <v>506</v>
      </c>
      <c r="G8" s="302" t="s">
        <v>506</v>
      </c>
      <c r="H8" s="296" t="e">
        <f>F8*G8</f>
        <v>#VALUE!</v>
      </c>
    </row>
    <row r="9" spans="1:8" s="123" customFormat="1" ht="15" thickBot="1" x14ac:dyDescent="0.35">
      <c r="A9" s="128" t="s">
        <v>384</v>
      </c>
      <c r="B9" s="16" t="s">
        <v>390</v>
      </c>
      <c r="C9" s="304" t="s">
        <v>506</v>
      </c>
      <c r="D9" s="305" t="s">
        <v>506</v>
      </c>
      <c r="E9" s="305" t="s">
        <v>506</v>
      </c>
      <c r="F9" s="305" t="s">
        <v>506</v>
      </c>
      <c r="G9" s="306" t="s">
        <v>506</v>
      </c>
      <c r="H9" s="296" t="e">
        <f>F9*G9</f>
        <v>#VALUE!</v>
      </c>
    </row>
    <row r="10" spans="1:8" s="123" customFormat="1" ht="15" thickBot="1" x14ac:dyDescent="0.35">
      <c r="A10" s="128" t="s">
        <v>384</v>
      </c>
      <c r="B10" s="16"/>
      <c r="C10" s="78"/>
      <c r="D10" s="137"/>
      <c r="E10" s="137"/>
      <c r="F10" s="85"/>
      <c r="G10" s="191" t="s">
        <v>296</v>
      </c>
      <c r="H10" s="292" t="e">
        <f>SUM(H6:H9)</f>
        <v>#VALUE!</v>
      </c>
    </row>
    <row r="11" spans="1:8" s="123" customFormat="1" x14ac:dyDescent="0.3">
      <c r="A11" s="91" t="s">
        <v>391</v>
      </c>
      <c r="B11" s="249" t="s">
        <v>392</v>
      </c>
      <c r="C11" s="298" t="s">
        <v>506</v>
      </c>
      <c r="D11" s="307" t="s">
        <v>506</v>
      </c>
      <c r="E11" s="307" t="s">
        <v>506</v>
      </c>
      <c r="F11" s="303" t="s">
        <v>506</v>
      </c>
      <c r="G11" s="300" t="s">
        <v>506</v>
      </c>
      <c r="H11" s="295" t="e">
        <f>F11*G11</f>
        <v>#VALUE!</v>
      </c>
    </row>
    <row r="12" spans="1:8" s="123" customFormat="1" x14ac:dyDescent="0.3">
      <c r="A12" s="128" t="s">
        <v>391</v>
      </c>
      <c r="B12" s="16" t="s">
        <v>393</v>
      </c>
      <c r="C12" s="301" t="s">
        <v>506</v>
      </c>
      <c r="D12" s="308" t="s">
        <v>506</v>
      </c>
      <c r="E12" s="308" t="s">
        <v>506</v>
      </c>
      <c r="F12" s="303" t="s">
        <v>506</v>
      </c>
      <c r="G12" s="303" t="s">
        <v>506</v>
      </c>
      <c r="H12" s="296" t="e">
        <f>F12*G12</f>
        <v>#VALUE!</v>
      </c>
    </row>
    <row r="13" spans="1:8" s="123" customFormat="1" ht="15" thickBot="1" x14ac:dyDescent="0.35">
      <c r="A13" s="128" t="s">
        <v>391</v>
      </c>
      <c r="B13" s="16" t="s">
        <v>394</v>
      </c>
      <c r="C13" s="304" t="s">
        <v>506</v>
      </c>
      <c r="D13" s="309" t="s">
        <v>506</v>
      </c>
      <c r="E13" s="309" t="s">
        <v>506</v>
      </c>
      <c r="F13" s="303" t="s">
        <v>506</v>
      </c>
      <c r="G13" s="306" t="s">
        <v>506</v>
      </c>
      <c r="H13" s="296" t="e">
        <f>F13*G13</f>
        <v>#VALUE!</v>
      </c>
    </row>
    <row r="14" spans="1:8" s="123" customFormat="1" ht="15" thickBot="1" x14ac:dyDescent="0.35">
      <c r="A14" s="35" t="s">
        <v>391</v>
      </c>
      <c r="B14" s="36"/>
      <c r="C14" s="78"/>
      <c r="D14" s="137"/>
      <c r="E14" s="137"/>
      <c r="F14" s="85"/>
      <c r="G14" s="191" t="s">
        <v>296</v>
      </c>
      <c r="H14" s="248" t="e">
        <f>SUM(H11:H13)</f>
        <v>#VALUE!</v>
      </c>
    </row>
    <row r="15" spans="1:8" s="123" customFormat="1" x14ac:dyDescent="0.3">
      <c r="A15" s="91" t="s">
        <v>395</v>
      </c>
      <c r="B15" s="249" t="s">
        <v>396</v>
      </c>
      <c r="C15" s="298" t="s">
        <v>506</v>
      </c>
      <c r="D15" s="307" t="s">
        <v>506</v>
      </c>
      <c r="E15" s="307" t="s">
        <v>506</v>
      </c>
      <c r="F15" s="303" t="s">
        <v>506</v>
      </c>
      <c r="G15" s="300" t="s">
        <v>506</v>
      </c>
      <c r="H15" s="295" t="e">
        <f>F15*G15</f>
        <v>#VALUE!</v>
      </c>
    </row>
    <row r="16" spans="1:8" s="123" customFormat="1" x14ac:dyDescent="0.3">
      <c r="A16" s="128" t="s">
        <v>395</v>
      </c>
      <c r="B16" s="16" t="s">
        <v>397</v>
      </c>
      <c r="C16" s="301" t="s">
        <v>506</v>
      </c>
      <c r="D16" s="308" t="s">
        <v>506</v>
      </c>
      <c r="E16" s="308" t="s">
        <v>506</v>
      </c>
      <c r="F16" s="303" t="s">
        <v>506</v>
      </c>
      <c r="G16" s="303" t="s">
        <v>506</v>
      </c>
      <c r="H16" s="296" t="e">
        <f>F16*G16</f>
        <v>#VALUE!</v>
      </c>
    </row>
    <row r="17" spans="1:8" s="123" customFormat="1" x14ac:dyDescent="0.3">
      <c r="A17" s="128" t="s">
        <v>395</v>
      </c>
      <c r="B17" s="16" t="s">
        <v>398</v>
      </c>
      <c r="C17" s="301" t="s">
        <v>506</v>
      </c>
      <c r="D17" s="308" t="s">
        <v>506</v>
      </c>
      <c r="E17" s="308" t="s">
        <v>506</v>
      </c>
      <c r="F17" s="303" t="s">
        <v>506</v>
      </c>
      <c r="G17" s="303" t="s">
        <v>506</v>
      </c>
      <c r="H17" s="296" t="e">
        <f>F17*G17</f>
        <v>#VALUE!</v>
      </c>
    </row>
    <row r="18" spans="1:8" s="123" customFormat="1" ht="15" thickBot="1" x14ac:dyDescent="0.35">
      <c r="A18" s="128" t="s">
        <v>395</v>
      </c>
      <c r="B18" s="16" t="s">
        <v>400</v>
      </c>
      <c r="C18" s="304" t="s">
        <v>506</v>
      </c>
      <c r="D18" s="309" t="s">
        <v>506</v>
      </c>
      <c r="E18" s="309" t="s">
        <v>506</v>
      </c>
      <c r="F18" s="303" t="s">
        <v>506</v>
      </c>
      <c r="G18" s="306" t="s">
        <v>506</v>
      </c>
      <c r="H18" s="296" t="e">
        <f>F18*G18</f>
        <v>#VALUE!</v>
      </c>
    </row>
    <row r="19" spans="1:8" s="123" customFormat="1" ht="15" thickBot="1" x14ac:dyDescent="0.35">
      <c r="A19" s="35" t="s">
        <v>395</v>
      </c>
      <c r="B19" s="36"/>
      <c r="C19" s="78"/>
      <c r="D19" s="137"/>
      <c r="E19" s="137"/>
      <c r="F19" s="85"/>
      <c r="G19" s="191" t="s">
        <v>296</v>
      </c>
      <c r="H19" s="248" t="e">
        <f>SUM(H15:H18)</f>
        <v>#VALUE!</v>
      </c>
    </row>
    <row r="20" spans="1:8" s="123" customFormat="1" ht="15" thickBot="1" x14ac:dyDescent="0.35">
      <c r="A20" s="91" t="s">
        <v>401</v>
      </c>
      <c r="B20" s="249" t="s">
        <v>402</v>
      </c>
      <c r="C20" s="298" t="s">
        <v>506</v>
      </c>
      <c r="D20" s="307" t="s">
        <v>506</v>
      </c>
      <c r="E20" s="307" t="s">
        <v>506</v>
      </c>
      <c r="F20" s="303" t="s">
        <v>506</v>
      </c>
      <c r="G20" s="300" t="s">
        <v>506</v>
      </c>
      <c r="H20" s="295" t="e">
        <f>F20*G20</f>
        <v>#VALUE!</v>
      </c>
    </row>
    <row r="21" spans="1:8" s="123" customFormat="1" ht="15" thickBot="1" x14ac:dyDescent="0.35">
      <c r="A21" s="35" t="s">
        <v>401</v>
      </c>
      <c r="B21" s="36"/>
      <c r="C21" s="78"/>
      <c r="D21" s="137"/>
      <c r="E21" s="137"/>
      <c r="F21" s="85"/>
      <c r="G21" s="191" t="s">
        <v>296</v>
      </c>
      <c r="H21" s="248" t="e">
        <f>SUM(H20:H20)</f>
        <v>#VALUE!</v>
      </c>
    </row>
    <row r="22" spans="1:8" s="123" customFormat="1" ht="15" thickBot="1" x14ac:dyDescent="0.35">
      <c r="A22" s="91" t="s">
        <v>403</v>
      </c>
      <c r="B22" s="249">
        <v>1341</v>
      </c>
      <c r="C22" s="298" t="s">
        <v>506</v>
      </c>
      <c r="D22" s="307" t="s">
        <v>506</v>
      </c>
      <c r="E22" s="307" t="s">
        <v>506</v>
      </c>
      <c r="F22" s="303" t="s">
        <v>506</v>
      </c>
      <c r="G22" s="300" t="s">
        <v>506</v>
      </c>
      <c r="H22" s="295" t="e">
        <f>F22*G22</f>
        <v>#VALUE!</v>
      </c>
    </row>
    <row r="23" spans="1:8" s="123" customFormat="1" ht="15" thickBot="1" x14ac:dyDescent="0.35">
      <c r="A23" s="35" t="s">
        <v>403</v>
      </c>
      <c r="B23" s="36"/>
      <c r="C23" s="78"/>
      <c r="D23" s="137"/>
      <c r="E23" s="137"/>
      <c r="F23" s="85"/>
      <c r="G23" s="191" t="s">
        <v>296</v>
      </c>
      <c r="H23" s="248" t="e">
        <f>SUM(H22:H22)</f>
        <v>#VALUE!</v>
      </c>
    </row>
    <row r="24" spans="1:8" s="123" customFormat="1" x14ac:dyDescent="0.3">
      <c r="A24" s="91" t="s">
        <v>404</v>
      </c>
      <c r="B24" s="249" t="s">
        <v>405</v>
      </c>
      <c r="C24" s="298" t="s">
        <v>506</v>
      </c>
      <c r="D24" s="307" t="s">
        <v>506</v>
      </c>
      <c r="E24" s="307" t="s">
        <v>506</v>
      </c>
      <c r="F24" s="303" t="s">
        <v>506</v>
      </c>
      <c r="G24" s="300" t="s">
        <v>506</v>
      </c>
      <c r="H24" s="295" t="e">
        <f>F24*G24</f>
        <v>#VALUE!</v>
      </c>
    </row>
    <row r="25" spans="1:8" s="123" customFormat="1" x14ac:dyDescent="0.3">
      <c r="A25" s="128" t="s">
        <v>404</v>
      </c>
      <c r="B25" s="16" t="s">
        <v>406</v>
      </c>
      <c r="C25" s="301" t="s">
        <v>506</v>
      </c>
      <c r="D25" s="308" t="s">
        <v>506</v>
      </c>
      <c r="E25" s="308" t="s">
        <v>506</v>
      </c>
      <c r="F25" s="303" t="s">
        <v>506</v>
      </c>
      <c r="G25" s="303" t="s">
        <v>506</v>
      </c>
      <c r="H25" s="296" t="e">
        <f t="shared" ref="H25:H32" si="0">F25*G25</f>
        <v>#VALUE!</v>
      </c>
    </row>
    <row r="26" spans="1:8" s="123" customFormat="1" x14ac:dyDescent="0.3">
      <c r="A26" s="128" t="s">
        <v>404</v>
      </c>
      <c r="B26" s="16" t="s">
        <v>407</v>
      </c>
      <c r="C26" s="301" t="s">
        <v>506</v>
      </c>
      <c r="D26" s="308" t="s">
        <v>506</v>
      </c>
      <c r="E26" s="308" t="s">
        <v>506</v>
      </c>
      <c r="F26" s="303" t="s">
        <v>506</v>
      </c>
      <c r="G26" s="303" t="s">
        <v>506</v>
      </c>
      <c r="H26" s="296" t="e">
        <f t="shared" si="0"/>
        <v>#VALUE!</v>
      </c>
    </row>
    <row r="27" spans="1:8" s="123" customFormat="1" x14ac:dyDescent="0.3">
      <c r="A27" s="128" t="s">
        <v>404</v>
      </c>
      <c r="B27" s="16" t="s">
        <v>408</v>
      </c>
      <c r="C27" s="301" t="s">
        <v>506</v>
      </c>
      <c r="D27" s="308" t="s">
        <v>506</v>
      </c>
      <c r="E27" s="308" t="s">
        <v>506</v>
      </c>
      <c r="F27" s="303" t="s">
        <v>506</v>
      </c>
      <c r="G27" s="303" t="s">
        <v>506</v>
      </c>
      <c r="H27" s="296" t="e">
        <f t="shared" si="0"/>
        <v>#VALUE!</v>
      </c>
    </row>
    <row r="28" spans="1:8" s="123" customFormat="1" x14ac:dyDescent="0.3">
      <c r="A28" s="128" t="s">
        <v>404</v>
      </c>
      <c r="B28" s="16" t="s">
        <v>409</v>
      </c>
      <c r="C28" s="301" t="s">
        <v>506</v>
      </c>
      <c r="D28" s="308" t="s">
        <v>506</v>
      </c>
      <c r="E28" s="308" t="s">
        <v>506</v>
      </c>
      <c r="F28" s="303" t="s">
        <v>506</v>
      </c>
      <c r="G28" s="303" t="s">
        <v>506</v>
      </c>
      <c r="H28" s="296" t="e">
        <f t="shared" si="0"/>
        <v>#VALUE!</v>
      </c>
    </row>
    <row r="29" spans="1:8" s="123" customFormat="1" x14ac:dyDescent="0.3">
      <c r="A29" s="128" t="s">
        <v>404</v>
      </c>
      <c r="B29" s="16" t="s">
        <v>410</v>
      </c>
      <c r="C29" s="301" t="s">
        <v>506</v>
      </c>
      <c r="D29" s="308" t="s">
        <v>506</v>
      </c>
      <c r="E29" s="308" t="s">
        <v>506</v>
      </c>
      <c r="F29" s="303" t="s">
        <v>506</v>
      </c>
      <c r="G29" s="303" t="s">
        <v>506</v>
      </c>
      <c r="H29" s="296" t="e">
        <f t="shared" si="0"/>
        <v>#VALUE!</v>
      </c>
    </row>
    <row r="30" spans="1:8" s="123" customFormat="1" x14ac:dyDescent="0.3">
      <c r="A30" s="128" t="s">
        <v>404</v>
      </c>
      <c r="B30" s="16" t="s">
        <v>411</v>
      </c>
      <c r="C30" s="301" t="s">
        <v>506</v>
      </c>
      <c r="D30" s="308" t="s">
        <v>506</v>
      </c>
      <c r="E30" s="308" t="s">
        <v>506</v>
      </c>
      <c r="F30" s="303" t="s">
        <v>506</v>
      </c>
      <c r="G30" s="303" t="s">
        <v>506</v>
      </c>
      <c r="H30" s="296" t="e">
        <f t="shared" si="0"/>
        <v>#VALUE!</v>
      </c>
    </row>
    <row r="31" spans="1:8" s="123" customFormat="1" x14ac:dyDescent="0.3">
      <c r="A31" s="128" t="s">
        <v>404</v>
      </c>
      <c r="B31" s="16" t="s">
        <v>412</v>
      </c>
      <c r="C31" s="301" t="s">
        <v>506</v>
      </c>
      <c r="D31" s="308" t="s">
        <v>506</v>
      </c>
      <c r="E31" s="308" t="s">
        <v>506</v>
      </c>
      <c r="F31" s="303" t="s">
        <v>506</v>
      </c>
      <c r="G31" s="303" t="s">
        <v>506</v>
      </c>
      <c r="H31" s="296" t="e">
        <f t="shared" si="0"/>
        <v>#VALUE!</v>
      </c>
    </row>
    <row r="32" spans="1:8" s="123" customFormat="1" ht="15" thickBot="1" x14ac:dyDescent="0.35">
      <c r="A32" s="128" t="s">
        <v>404</v>
      </c>
      <c r="B32" s="16" t="s">
        <v>413</v>
      </c>
      <c r="C32" s="301" t="s">
        <v>506</v>
      </c>
      <c r="D32" s="308" t="s">
        <v>506</v>
      </c>
      <c r="E32" s="308" t="s">
        <v>506</v>
      </c>
      <c r="F32" s="303" t="s">
        <v>506</v>
      </c>
      <c r="G32" s="303" t="s">
        <v>506</v>
      </c>
      <c r="H32" s="296" t="e">
        <f t="shared" si="0"/>
        <v>#VALUE!</v>
      </c>
    </row>
    <row r="33" spans="1:8" s="123" customFormat="1" ht="15" thickBot="1" x14ac:dyDescent="0.35">
      <c r="A33" s="35" t="s">
        <v>404</v>
      </c>
      <c r="B33" s="36"/>
      <c r="C33" s="78"/>
      <c r="D33" s="137"/>
      <c r="E33" s="137"/>
      <c r="F33" s="85"/>
      <c r="G33" s="191" t="s">
        <v>296</v>
      </c>
      <c r="H33" s="248" t="e">
        <f>SUM(H24:H32)</f>
        <v>#VALUE!</v>
      </c>
    </row>
    <row r="34" spans="1:8" s="123" customFormat="1" x14ac:dyDescent="0.3">
      <c r="A34" s="91" t="s">
        <v>414</v>
      </c>
      <c r="B34" s="249" t="s">
        <v>415</v>
      </c>
      <c r="C34" s="298" t="s">
        <v>506</v>
      </c>
      <c r="D34" s="307" t="s">
        <v>506</v>
      </c>
      <c r="E34" s="307" t="s">
        <v>506</v>
      </c>
      <c r="F34" s="303" t="s">
        <v>506</v>
      </c>
      <c r="G34" s="300" t="s">
        <v>506</v>
      </c>
      <c r="H34" s="295" t="e">
        <f>F34*G34</f>
        <v>#VALUE!</v>
      </c>
    </row>
    <row r="35" spans="1:8" s="123" customFormat="1" x14ac:dyDescent="0.3">
      <c r="A35" s="128" t="s">
        <v>414</v>
      </c>
      <c r="B35" s="16" t="s">
        <v>416</v>
      </c>
      <c r="C35" s="301" t="s">
        <v>506</v>
      </c>
      <c r="D35" s="308" t="s">
        <v>506</v>
      </c>
      <c r="E35" s="308" t="s">
        <v>506</v>
      </c>
      <c r="F35" s="303" t="s">
        <v>506</v>
      </c>
      <c r="G35" s="303" t="s">
        <v>506</v>
      </c>
      <c r="H35" s="296" t="e">
        <f>F35*G35</f>
        <v>#VALUE!</v>
      </c>
    </row>
    <row r="36" spans="1:8" s="123" customFormat="1" ht="15" thickBot="1" x14ac:dyDescent="0.35">
      <c r="A36" s="128" t="s">
        <v>414</v>
      </c>
      <c r="B36" s="16" t="s">
        <v>417</v>
      </c>
      <c r="C36" s="304" t="s">
        <v>506</v>
      </c>
      <c r="D36" s="309" t="s">
        <v>506</v>
      </c>
      <c r="E36" s="309" t="s">
        <v>506</v>
      </c>
      <c r="F36" s="303" t="s">
        <v>506</v>
      </c>
      <c r="G36" s="306" t="s">
        <v>506</v>
      </c>
      <c r="H36" s="296" t="e">
        <f>F36*G36</f>
        <v>#VALUE!</v>
      </c>
    </row>
    <row r="37" spans="1:8" s="123" customFormat="1" ht="15" thickBot="1" x14ac:dyDescent="0.35">
      <c r="A37" s="35" t="s">
        <v>414</v>
      </c>
      <c r="B37" s="36"/>
      <c r="C37" s="78"/>
      <c r="D37" s="137"/>
      <c r="E37" s="137"/>
      <c r="F37" s="85"/>
      <c r="G37" s="191" t="s">
        <v>296</v>
      </c>
      <c r="H37" s="248" t="e">
        <f>SUM(H34:H36)</f>
        <v>#VALUE!</v>
      </c>
    </row>
    <row r="38" spans="1:8" s="123" customFormat="1" x14ac:dyDescent="0.3">
      <c r="A38" s="91" t="s">
        <v>418</v>
      </c>
      <c r="B38" s="249" t="s">
        <v>419</v>
      </c>
      <c r="C38" s="298" t="s">
        <v>506</v>
      </c>
      <c r="D38" s="307" t="s">
        <v>506</v>
      </c>
      <c r="E38" s="307" t="s">
        <v>506</v>
      </c>
      <c r="F38" s="303" t="s">
        <v>506</v>
      </c>
      <c r="G38" s="300" t="s">
        <v>506</v>
      </c>
      <c r="H38" s="295" t="e">
        <f>F38*G38</f>
        <v>#VALUE!</v>
      </c>
    </row>
    <row r="39" spans="1:8" s="123" customFormat="1" ht="15" thickBot="1" x14ac:dyDescent="0.35">
      <c r="A39" s="128" t="s">
        <v>418</v>
      </c>
      <c r="B39" s="16" t="s">
        <v>420</v>
      </c>
      <c r="C39" s="301" t="s">
        <v>506</v>
      </c>
      <c r="D39" s="308" t="s">
        <v>506</v>
      </c>
      <c r="E39" s="308" t="s">
        <v>506</v>
      </c>
      <c r="F39" s="303" t="s">
        <v>506</v>
      </c>
      <c r="G39" s="303" t="s">
        <v>506</v>
      </c>
      <c r="H39" s="296" t="e">
        <f>F39*G39</f>
        <v>#VALUE!</v>
      </c>
    </row>
    <row r="40" spans="1:8" s="123" customFormat="1" ht="15" thickBot="1" x14ac:dyDescent="0.35">
      <c r="A40" s="35" t="s">
        <v>418</v>
      </c>
      <c r="B40" s="36"/>
      <c r="C40" s="78"/>
      <c r="D40" s="137"/>
      <c r="E40" s="137"/>
      <c r="F40" s="85"/>
      <c r="G40" s="191" t="s">
        <v>296</v>
      </c>
      <c r="H40" s="248" t="e">
        <f>SUM(H38:H39)</f>
        <v>#VALUE!</v>
      </c>
    </row>
    <row r="41" spans="1:8" s="123" customFormat="1" x14ac:dyDescent="0.3">
      <c r="A41" s="91" t="s">
        <v>422</v>
      </c>
      <c r="B41" s="249" t="s">
        <v>423</v>
      </c>
      <c r="C41" s="298" t="s">
        <v>506</v>
      </c>
      <c r="D41" s="307" t="s">
        <v>506</v>
      </c>
      <c r="E41" s="307" t="s">
        <v>506</v>
      </c>
      <c r="F41" s="303" t="s">
        <v>506</v>
      </c>
      <c r="G41" s="300" t="s">
        <v>506</v>
      </c>
      <c r="H41" s="295" t="e">
        <f>F41*G41</f>
        <v>#VALUE!</v>
      </c>
    </row>
    <row r="42" spans="1:8" s="123" customFormat="1" x14ac:dyDescent="0.3">
      <c r="A42" s="128" t="s">
        <v>422</v>
      </c>
      <c r="B42" s="16" t="s">
        <v>425</v>
      </c>
      <c r="C42" s="301" t="s">
        <v>506</v>
      </c>
      <c r="D42" s="308" t="s">
        <v>506</v>
      </c>
      <c r="E42" s="308" t="s">
        <v>506</v>
      </c>
      <c r="F42" s="303" t="s">
        <v>506</v>
      </c>
      <c r="G42" s="303" t="s">
        <v>506</v>
      </c>
      <c r="H42" s="296" t="e">
        <f>F42*G42</f>
        <v>#VALUE!</v>
      </c>
    </row>
    <row r="43" spans="1:8" s="123" customFormat="1" ht="15" thickBot="1" x14ac:dyDescent="0.35">
      <c r="A43" s="128" t="s">
        <v>422</v>
      </c>
      <c r="B43" s="16" t="s">
        <v>426</v>
      </c>
      <c r="C43" s="304" t="s">
        <v>506</v>
      </c>
      <c r="D43" s="309" t="s">
        <v>506</v>
      </c>
      <c r="E43" s="309" t="s">
        <v>506</v>
      </c>
      <c r="F43" s="303" t="s">
        <v>506</v>
      </c>
      <c r="G43" s="306" t="s">
        <v>506</v>
      </c>
      <c r="H43" s="296" t="e">
        <f>F43*G43</f>
        <v>#VALUE!</v>
      </c>
    </row>
    <row r="44" spans="1:8" s="123" customFormat="1" ht="15" thickBot="1" x14ac:dyDescent="0.35">
      <c r="A44" s="35" t="s">
        <v>422</v>
      </c>
      <c r="B44" s="36"/>
      <c r="C44" s="78"/>
      <c r="D44" s="137"/>
      <c r="E44" s="137"/>
      <c r="F44" s="85"/>
      <c r="G44" s="191" t="s">
        <v>296</v>
      </c>
      <c r="H44" s="248" t="e">
        <f>SUM(H41:H43)</f>
        <v>#VALUE!</v>
      </c>
    </row>
    <row r="45" spans="1:8" s="123" customFormat="1" ht="15" thickBot="1" x14ac:dyDescent="0.35">
      <c r="A45" s="91" t="s">
        <v>427</v>
      </c>
      <c r="B45" s="249" t="s">
        <v>428</v>
      </c>
      <c r="C45" s="298" t="s">
        <v>506</v>
      </c>
      <c r="D45" s="307" t="s">
        <v>506</v>
      </c>
      <c r="E45" s="307" t="s">
        <v>506</v>
      </c>
      <c r="F45" s="303" t="s">
        <v>506</v>
      </c>
      <c r="G45" s="300" t="s">
        <v>506</v>
      </c>
      <c r="H45" s="295" t="e">
        <f>F45*G45</f>
        <v>#VALUE!</v>
      </c>
    </row>
    <row r="46" spans="1:8" s="123" customFormat="1" ht="15" thickBot="1" x14ac:dyDescent="0.35">
      <c r="A46" s="35" t="s">
        <v>427</v>
      </c>
      <c r="B46" s="36"/>
      <c r="C46" s="78"/>
      <c r="D46" s="137"/>
      <c r="E46" s="137"/>
      <c r="F46" s="85"/>
      <c r="G46" s="191" t="s">
        <v>296</v>
      </c>
      <c r="H46" s="248" t="e">
        <f>SUM(H45:H45)</f>
        <v>#VALUE!</v>
      </c>
    </row>
    <row r="47" spans="1:8" s="123" customFormat="1" x14ac:dyDescent="0.3">
      <c r="A47" s="91" t="s">
        <v>430</v>
      </c>
      <c r="B47" s="249" t="s">
        <v>431</v>
      </c>
      <c r="C47" s="298" t="s">
        <v>506</v>
      </c>
      <c r="D47" s="307" t="s">
        <v>506</v>
      </c>
      <c r="E47" s="307" t="s">
        <v>506</v>
      </c>
      <c r="F47" s="303" t="s">
        <v>506</v>
      </c>
      <c r="G47" s="300" t="s">
        <v>506</v>
      </c>
      <c r="H47" s="295" t="e">
        <f>F47*G47</f>
        <v>#VALUE!</v>
      </c>
    </row>
    <row r="48" spans="1:8" s="123" customFormat="1" ht="15" thickBot="1" x14ac:dyDescent="0.35">
      <c r="A48" s="128" t="s">
        <v>430</v>
      </c>
      <c r="B48" s="16" t="s">
        <v>432</v>
      </c>
      <c r="C48" s="301" t="s">
        <v>506</v>
      </c>
      <c r="D48" s="308" t="s">
        <v>506</v>
      </c>
      <c r="E48" s="308" t="s">
        <v>506</v>
      </c>
      <c r="F48" s="303" t="s">
        <v>506</v>
      </c>
      <c r="G48" s="303" t="s">
        <v>506</v>
      </c>
      <c r="H48" s="296" t="e">
        <f>F48*G48</f>
        <v>#VALUE!</v>
      </c>
    </row>
    <row r="49" spans="1:8" s="123" customFormat="1" ht="15" thickBot="1" x14ac:dyDescent="0.35">
      <c r="A49" s="35" t="s">
        <v>430</v>
      </c>
      <c r="B49" s="36"/>
      <c r="C49" s="78"/>
      <c r="D49" s="137"/>
      <c r="E49" s="137"/>
      <c r="F49" s="85"/>
      <c r="G49" s="191" t="s">
        <v>296</v>
      </c>
      <c r="H49" s="248" t="e">
        <f>SUM(H47:H48)</f>
        <v>#VALUE!</v>
      </c>
    </row>
    <row r="50" spans="1:8" s="123" customFormat="1" x14ac:dyDescent="0.3">
      <c r="A50" s="91" t="s">
        <v>434</v>
      </c>
      <c r="B50" s="249" t="s">
        <v>435</v>
      </c>
      <c r="C50" s="298" t="s">
        <v>506</v>
      </c>
      <c r="D50" s="307" t="s">
        <v>506</v>
      </c>
      <c r="E50" s="307" t="s">
        <v>506</v>
      </c>
      <c r="F50" s="303" t="s">
        <v>506</v>
      </c>
      <c r="G50" s="300" t="s">
        <v>506</v>
      </c>
      <c r="H50" s="295" t="e">
        <f>F50*G50</f>
        <v>#VALUE!</v>
      </c>
    </row>
    <row r="51" spans="1:8" s="123" customFormat="1" x14ac:dyDescent="0.3">
      <c r="A51" s="128" t="s">
        <v>434</v>
      </c>
      <c r="B51" s="16" t="s">
        <v>436</v>
      </c>
      <c r="C51" s="301" t="s">
        <v>506</v>
      </c>
      <c r="D51" s="308" t="s">
        <v>506</v>
      </c>
      <c r="E51" s="308" t="s">
        <v>506</v>
      </c>
      <c r="F51" s="303" t="s">
        <v>506</v>
      </c>
      <c r="G51" s="303" t="s">
        <v>506</v>
      </c>
      <c r="H51" s="296" t="e">
        <f>F51*G51</f>
        <v>#VALUE!</v>
      </c>
    </row>
    <row r="52" spans="1:8" s="123" customFormat="1" x14ac:dyDescent="0.3">
      <c r="A52" s="128" t="s">
        <v>434</v>
      </c>
      <c r="B52" s="16" t="s">
        <v>437</v>
      </c>
      <c r="C52" s="301" t="s">
        <v>506</v>
      </c>
      <c r="D52" s="308" t="s">
        <v>506</v>
      </c>
      <c r="E52" s="308" t="s">
        <v>506</v>
      </c>
      <c r="F52" s="303" t="s">
        <v>506</v>
      </c>
      <c r="G52" s="303" t="s">
        <v>506</v>
      </c>
      <c r="H52" s="296" t="e">
        <f>F52*G52</f>
        <v>#VALUE!</v>
      </c>
    </row>
    <row r="53" spans="1:8" s="123" customFormat="1" x14ac:dyDescent="0.3">
      <c r="A53" s="128" t="s">
        <v>434</v>
      </c>
      <c r="B53" s="16" t="s">
        <v>439</v>
      </c>
      <c r="C53" s="304" t="s">
        <v>506</v>
      </c>
      <c r="D53" s="309" t="s">
        <v>506</v>
      </c>
      <c r="E53" s="309" t="s">
        <v>506</v>
      </c>
      <c r="F53" s="303" t="s">
        <v>506</v>
      </c>
      <c r="G53" s="306" t="s">
        <v>506</v>
      </c>
      <c r="H53" s="296" t="e">
        <f t="shared" ref="H53:H54" si="1">F53*G53</f>
        <v>#VALUE!</v>
      </c>
    </row>
    <row r="54" spans="1:8" s="123" customFormat="1" x14ac:dyDescent="0.3">
      <c r="A54" s="128" t="s">
        <v>434</v>
      </c>
      <c r="B54" s="16">
        <v>1303</v>
      </c>
      <c r="C54" s="304" t="s">
        <v>506</v>
      </c>
      <c r="D54" s="309" t="s">
        <v>506</v>
      </c>
      <c r="E54" s="309" t="s">
        <v>506</v>
      </c>
      <c r="F54" s="303" t="s">
        <v>506</v>
      </c>
      <c r="G54" s="306" t="s">
        <v>506</v>
      </c>
      <c r="H54" s="296" t="e">
        <f t="shared" si="1"/>
        <v>#VALUE!</v>
      </c>
    </row>
    <row r="55" spans="1:8" s="123" customFormat="1" ht="15" thickBot="1" x14ac:dyDescent="0.35">
      <c r="A55" s="128" t="s">
        <v>434</v>
      </c>
      <c r="B55" s="16">
        <v>1309</v>
      </c>
      <c r="C55" s="304" t="s">
        <v>506</v>
      </c>
      <c r="D55" s="309" t="s">
        <v>506</v>
      </c>
      <c r="E55" s="309" t="s">
        <v>506</v>
      </c>
      <c r="F55" s="303" t="s">
        <v>506</v>
      </c>
      <c r="G55" s="306" t="s">
        <v>506</v>
      </c>
      <c r="H55" s="296" t="e">
        <f>F55*G55</f>
        <v>#VALUE!</v>
      </c>
    </row>
    <row r="56" spans="1:8" s="123" customFormat="1" ht="15" thickBot="1" x14ac:dyDescent="0.35">
      <c r="A56" s="35" t="s">
        <v>434</v>
      </c>
      <c r="B56" s="36"/>
      <c r="C56" s="78"/>
      <c r="D56" s="137"/>
      <c r="E56" s="137"/>
      <c r="F56" s="85"/>
      <c r="G56" s="191" t="s">
        <v>296</v>
      </c>
      <c r="H56" s="248" t="e">
        <f>SUM(H50:H55)</f>
        <v>#VALUE!</v>
      </c>
    </row>
    <row r="57" spans="1:8" s="123" customFormat="1" x14ac:dyDescent="0.3">
      <c r="A57" s="91" t="s">
        <v>440</v>
      </c>
      <c r="B57" s="249" t="s">
        <v>441</v>
      </c>
      <c r="C57" s="310" t="s">
        <v>506</v>
      </c>
      <c r="D57" s="311" t="s">
        <v>506</v>
      </c>
      <c r="E57" s="311" t="s">
        <v>506</v>
      </c>
      <c r="F57" s="303" t="s">
        <v>506</v>
      </c>
      <c r="G57" s="312" t="s">
        <v>506</v>
      </c>
      <c r="H57" s="297" t="e">
        <f>F57*G57</f>
        <v>#VALUE!</v>
      </c>
    </row>
    <row r="58" spans="1:8" s="123" customFormat="1" x14ac:dyDescent="0.3">
      <c r="A58" s="128" t="s">
        <v>440</v>
      </c>
      <c r="B58" s="16" t="s">
        <v>442</v>
      </c>
      <c r="C58" s="301" t="s">
        <v>506</v>
      </c>
      <c r="D58" s="308" t="s">
        <v>506</v>
      </c>
      <c r="E58" s="308" t="s">
        <v>506</v>
      </c>
      <c r="F58" s="303" t="s">
        <v>506</v>
      </c>
      <c r="G58" s="303" t="s">
        <v>506</v>
      </c>
      <c r="H58" s="296" t="e">
        <f>F58*G58</f>
        <v>#VALUE!</v>
      </c>
    </row>
    <row r="59" spans="1:8" s="123" customFormat="1" x14ac:dyDescent="0.3">
      <c r="A59" s="128" t="s">
        <v>440</v>
      </c>
      <c r="B59" s="16" t="s">
        <v>443</v>
      </c>
      <c r="C59" s="301" t="s">
        <v>506</v>
      </c>
      <c r="D59" s="308" t="s">
        <v>506</v>
      </c>
      <c r="E59" s="308" t="s">
        <v>506</v>
      </c>
      <c r="F59" s="303" t="s">
        <v>506</v>
      </c>
      <c r="G59" s="303" t="s">
        <v>506</v>
      </c>
      <c r="H59" s="296" t="e">
        <f>F59*G59</f>
        <v>#VALUE!</v>
      </c>
    </row>
    <row r="60" spans="1:8" s="123" customFormat="1" x14ac:dyDescent="0.3">
      <c r="A60" s="128" t="s">
        <v>440</v>
      </c>
      <c r="B60" s="16" t="s">
        <v>444</v>
      </c>
      <c r="C60" s="301" t="s">
        <v>506</v>
      </c>
      <c r="D60" s="308" t="s">
        <v>506</v>
      </c>
      <c r="E60" s="308" t="s">
        <v>506</v>
      </c>
      <c r="F60" s="303" t="s">
        <v>506</v>
      </c>
      <c r="G60" s="303" t="s">
        <v>506</v>
      </c>
      <c r="H60" s="296" t="e">
        <f>F60*G60</f>
        <v>#VALUE!</v>
      </c>
    </row>
    <row r="61" spans="1:8" s="123" customFormat="1" ht="15" thickBot="1" x14ac:dyDescent="0.35">
      <c r="A61" s="128" t="s">
        <v>440</v>
      </c>
      <c r="B61" s="16" t="s">
        <v>445</v>
      </c>
      <c r="C61" s="304" t="s">
        <v>506</v>
      </c>
      <c r="D61" s="309" t="s">
        <v>506</v>
      </c>
      <c r="E61" s="309" t="s">
        <v>506</v>
      </c>
      <c r="F61" s="303" t="s">
        <v>506</v>
      </c>
      <c r="G61" s="306" t="s">
        <v>506</v>
      </c>
      <c r="H61" s="296" t="e">
        <f>F61*G61</f>
        <v>#VALUE!</v>
      </c>
    </row>
    <row r="62" spans="1:8" s="123" customFormat="1" ht="15" thickBot="1" x14ac:dyDescent="0.35">
      <c r="A62" s="35" t="s">
        <v>440</v>
      </c>
      <c r="B62" s="36"/>
      <c r="C62" s="78"/>
      <c r="D62" s="137"/>
      <c r="E62" s="137"/>
      <c r="F62" s="85"/>
      <c r="G62" s="191" t="s">
        <v>296</v>
      </c>
      <c r="H62" s="248" t="e">
        <f>SUM(H57:H61)</f>
        <v>#VALUE!</v>
      </c>
    </row>
    <row r="63" spans="1:8" s="123" customFormat="1" x14ac:dyDescent="0.3"/>
    <row r="64" spans="1:8" s="123" customFormat="1" x14ac:dyDescent="0.3">
      <c r="A64" s="1" t="s">
        <v>212</v>
      </c>
    </row>
    <row r="65" spans="1:9" s="123" customFormat="1" x14ac:dyDescent="0.3">
      <c r="A65" s="194" t="s">
        <v>33</v>
      </c>
      <c r="B65" s="152"/>
      <c r="C65" s="152"/>
      <c r="D65" s="152"/>
      <c r="E65" s="152"/>
      <c r="F65" s="152"/>
      <c r="G65" s="152"/>
      <c r="H65" s="152"/>
      <c r="I65" s="153"/>
    </row>
    <row r="66" spans="1:9" s="123" customFormat="1" ht="15" customHeight="1" x14ac:dyDescent="0.3">
      <c r="A66" s="164" t="s">
        <v>297</v>
      </c>
      <c r="B66" s="142"/>
      <c r="C66" s="142"/>
      <c r="D66" s="142"/>
      <c r="E66" s="142"/>
      <c r="F66" s="142"/>
      <c r="G66" s="142"/>
      <c r="H66" s="142"/>
      <c r="I66" s="156"/>
    </row>
    <row r="67" spans="1:9" s="123" customFormat="1" ht="15" customHeight="1" x14ac:dyDescent="0.3">
      <c r="A67" s="167" t="s">
        <v>298</v>
      </c>
      <c r="B67" s="144"/>
      <c r="C67" s="144"/>
      <c r="D67" s="144"/>
      <c r="E67" s="144"/>
      <c r="F67" s="144"/>
      <c r="G67" s="144"/>
      <c r="H67" s="144"/>
      <c r="I67" s="169"/>
    </row>
    <row r="68" spans="1:9" s="123" customFormat="1" x14ac:dyDescent="0.3"/>
    <row r="69" spans="1:9" s="123" customFormat="1" x14ac:dyDescent="0.3">
      <c r="A69" s="775" t="s">
        <v>507</v>
      </c>
      <c r="B69" s="123" t="s">
        <v>534</v>
      </c>
    </row>
  </sheetData>
  <mergeCells count="1">
    <mergeCell ref="C4:H4"/>
  </mergeCells>
  <printOptions headings="1" gridLines="1"/>
  <pageMargins left="0.7" right="0.7" top="0.75" bottom="0.75" header="0.3" footer="0.3"/>
  <pageSetup scale="70" orientation="landscape"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CA76"/>
  <sheetViews>
    <sheetView zoomScaleNormal="100" workbookViewId="0">
      <selection activeCell="S57" sqref="S57"/>
    </sheetView>
  </sheetViews>
  <sheetFormatPr defaultColWidth="9.109375" defaultRowHeight="14.4" x14ac:dyDescent="0.3"/>
  <cols>
    <col min="1" max="1" width="23.33203125" style="123" customWidth="1"/>
    <col min="2" max="7" width="15.6640625" style="123" customWidth="1"/>
    <col min="8" max="8" width="23" style="123" customWidth="1"/>
    <col min="9" max="9" width="26" style="123" bestFit="1" customWidth="1"/>
    <col min="10" max="12" width="12.6640625" style="123" customWidth="1"/>
    <col min="13" max="18" width="18.6640625" style="123" customWidth="1"/>
    <col min="19" max="20" width="18.44140625" style="123" customWidth="1"/>
    <col min="21" max="28" width="19.6640625" style="123" customWidth="1"/>
    <col min="29" max="29" width="18.6640625" style="123" customWidth="1"/>
    <col min="30" max="37" width="19.6640625" style="123" customWidth="1"/>
    <col min="38" max="40" width="13.6640625" style="123" customWidth="1"/>
    <col min="41" max="41" width="10.5546875" style="123" customWidth="1"/>
    <col min="42" max="42" width="14.109375" style="123" customWidth="1"/>
    <col min="43" max="43" width="14.33203125" style="123" customWidth="1"/>
    <col min="44" max="46" width="13.6640625" style="123" customWidth="1"/>
    <col min="47" max="47" width="14.33203125" style="123" customWidth="1"/>
    <col min="48" max="52" width="14.6640625" style="123" customWidth="1"/>
    <col min="53" max="53" width="58.109375" style="123" customWidth="1"/>
    <col min="54" max="56" width="13.6640625" style="123" customWidth="1"/>
    <col min="57" max="57" width="12.44140625" style="123" customWidth="1"/>
    <col min="58" max="58" width="38.6640625" style="123" customWidth="1"/>
    <col min="59" max="59" width="15.88671875" style="123" customWidth="1"/>
    <col min="60" max="61" width="15.5546875" style="123" customWidth="1"/>
    <col min="62" max="62" width="16.33203125" style="123" customWidth="1"/>
    <col min="63" max="16384" width="9.109375" style="123"/>
  </cols>
  <sheetData>
    <row r="1" spans="1:79" x14ac:dyDescent="0.3">
      <c r="A1" s="1" t="s">
        <v>299</v>
      </c>
      <c r="B1" s="1" t="s">
        <v>300</v>
      </c>
      <c r="G1" s="250" t="s">
        <v>2</v>
      </c>
      <c r="H1" s="250" t="str">
        <f>'1a. Incremental Deployment-2022'!E1</f>
        <v>Unitil</v>
      </c>
    </row>
    <row r="2" spans="1:79" x14ac:dyDescent="0.3">
      <c r="A2" s="1"/>
      <c r="B2" s="1"/>
      <c r="G2" s="250" t="s">
        <v>43</v>
      </c>
      <c r="H2" s="265" t="s">
        <v>332</v>
      </c>
    </row>
    <row r="3" spans="1:79" ht="15" thickBot="1" x14ac:dyDescent="0.35"/>
    <row r="4" spans="1:79" ht="15" thickBot="1" x14ac:dyDescent="0.35">
      <c r="A4" s="917" t="s">
        <v>53</v>
      </c>
      <c r="B4" s="918"/>
      <c r="C4" s="918"/>
      <c r="D4" s="918"/>
      <c r="E4" s="918"/>
      <c r="F4" s="918"/>
      <c r="G4" s="919"/>
      <c r="H4" s="1002" t="s">
        <v>301</v>
      </c>
      <c r="I4" s="941"/>
      <c r="J4" s="941"/>
      <c r="K4" s="941"/>
      <c r="L4" s="942"/>
      <c r="M4" s="947" t="s">
        <v>302</v>
      </c>
      <c r="N4" s="948"/>
      <c r="O4" s="948"/>
      <c r="P4" s="948"/>
      <c r="Q4" s="948"/>
      <c r="R4" s="948"/>
      <c r="S4" s="948"/>
      <c r="T4" s="948"/>
      <c r="U4" s="948"/>
      <c r="V4" s="948"/>
      <c r="W4" s="948"/>
      <c r="X4" s="948"/>
      <c r="Y4" s="948"/>
      <c r="Z4" s="948"/>
      <c r="AA4" s="948"/>
      <c r="AB4" s="948"/>
      <c r="AC4" s="948"/>
      <c r="AD4" s="948"/>
      <c r="AE4" s="948"/>
      <c r="AF4" s="948"/>
      <c r="AG4" s="948"/>
      <c r="AH4" s="948"/>
      <c r="AI4" s="948"/>
      <c r="AJ4" s="948"/>
      <c r="AK4" s="949"/>
      <c r="AL4" s="1005" t="s">
        <v>303</v>
      </c>
      <c r="AM4" s="1006"/>
      <c r="AN4" s="1006"/>
      <c r="AO4" s="1006"/>
      <c r="AP4" s="1006"/>
      <c r="AQ4" s="1006"/>
      <c r="AR4" s="1006"/>
      <c r="AS4" s="1006"/>
      <c r="AT4" s="1006"/>
      <c r="AU4" s="1006"/>
      <c r="AV4" s="1006"/>
      <c r="AW4" s="1006"/>
      <c r="AX4" s="1006"/>
      <c r="AY4" s="1006"/>
      <c r="AZ4" s="1006"/>
      <c r="BA4" s="1007"/>
      <c r="BB4" s="901" t="s">
        <v>304</v>
      </c>
      <c r="BC4" s="902"/>
      <c r="BD4" s="902"/>
      <c r="BE4" s="902"/>
      <c r="BF4" s="902"/>
      <c r="BG4" s="902"/>
      <c r="BH4" s="902"/>
      <c r="BI4" s="902"/>
      <c r="BJ4" s="903"/>
    </row>
    <row r="5" spans="1:79" ht="15.75" customHeight="1" thickBot="1" x14ac:dyDescent="0.35">
      <c r="A5" s="920"/>
      <c r="B5" s="921"/>
      <c r="C5" s="921"/>
      <c r="D5" s="921"/>
      <c r="E5" s="921"/>
      <c r="F5" s="921"/>
      <c r="G5" s="922"/>
      <c r="H5" s="1003"/>
      <c r="I5" s="943"/>
      <c r="J5" s="943"/>
      <c r="K5" s="943"/>
      <c r="L5" s="944"/>
      <c r="M5" s="938" t="s">
        <v>59</v>
      </c>
      <c r="N5" s="939"/>
      <c r="O5" s="939"/>
      <c r="P5" s="939"/>
      <c r="Q5" s="939"/>
      <c r="R5" s="939"/>
      <c r="S5" s="939"/>
      <c r="T5" s="940"/>
      <c r="U5" s="938" t="s">
        <v>60</v>
      </c>
      <c r="V5" s="939"/>
      <c r="W5" s="939"/>
      <c r="X5" s="939"/>
      <c r="Y5" s="939"/>
      <c r="Z5" s="939"/>
      <c r="AA5" s="939"/>
      <c r="AB5" s="939"/>
      <c r="AC5" s="940"/>
      <c r="AD5" s="938" t="s">
        <v>61</v>
      </c>
      <c r="AE5" s="939"/>
      <c r="AF5" s="939"/>
      <c r="AG5" s="939"/>
      <c r="AH5" s="939"/>
      <c r="AI5" s="939"/>
      <c r="AJ5" s="939"/>
      <c r="AK5" s="940"/>
      <c r="AL5" s="1005" t="s">
        <v>62</v>
      </c>
      <c r="AM5" s="1006"/>
      <c r="AN5" s="1006"/>
      <c r="AO5" s="1006"/>
      <c r="AP5" s="1006"/>
      <c r="AQ5" s="1006"/>
      <c r="AR5" s="1006"/>
      <c r="AS5" s="597"/>
      <c r="AT5" s="597"/>
      <c r="AU5" s="597"/>
      <c r="AV5" s="597"/>
      <c r="AW5" s="890" t="s">
        <v>305</v>
      </c>
      <c r="AX5" s="909"/>
      <c r="AY5" s="909"/>
      <c r="AZ5" s="909"/>
      <c r="BA5" s="891"/>
      <c r="BB5" s="890" t="s">
        <v>67</v>
      </c>
      <c r="BC5" s="909"/>
      <c r="BD5" s="909"/>
      <c r="BE5" s="909"/>
      <c r="BF5" s="891"/>
      <c r="BG5" s="890" t="s">
        <v>68</v>
      </c>
      <c r="BH5" s="909"/>
      <c r="BI5" s="909"/>
      <c r="BJ5" s="891"/>
    </row>
    <row r="6" spans="1:79" ht="57.75" customHeight="1" thickBot="1" x14ac:dyDescent="0.35">
      <c r="A6" s="920"/>
      <c r="B6" s="921"/>
      <c r="C6" s="921"/>
      <c r="D6" s="921"/>
      <c r="E6" s="921"/>
      <c r="F6" s="921"/>
      <c r="G6" s="922"/>
      <c r="H6" s="1003"/>
      <c r="I6" s="943"/>
      <c r="J6" s="943"/>
      <c r="K6" s="943"/>
      <c r="L6" s="944"/>
      <c r="M6" s="995" t="s">
        <v>465</v>
      </c>
      <c r="N6" s="996"/>
      <c r="O6" s="995" t="s">
        <v>466</v>
      </c>
      <c r="P6" s="996"/>
      <c r="Q6" s="995" t="s">
        <v>467</v>
      </c>
      <c r="R6" s="996"/>
      <c r="S6" s="995" t="s">
        <v>73</v>
      </c>
      <c r="T6" s="996"/>
      <c r="U6" s="995" t="s">
        <v>465</v>
      </c>
      <c r="V6" s="996"/>
      <c r="W6" s="995" t="s">
        <v>466</v>
      </c>
      <c r="X6" s="996"/>
      <c r="Y6" s="995" t="s">
        <v>467</v>
      </c>
      <c r="Z6" s="996"/>
      <c r="AA6" s="995" t="s">
        <v>73</v>
      </c>
      <c r="AB6" s="996"/>
      <c r="AC6" s="1008" t="s">
        <v>74</v>
      </c>
      <c r="AD6" s="995" t="s">
        <v>465</v>
      </c>
      <c r="AE6" s="996"/>
      <c r="AF6" s="995" t="s">
        <v>466</v>
      </c>
      <c r="AG6" s="996"/>
      <c r="AH6" s="995" t="s">
        <v>468</v>
      </c>
      <c r="AI6" s="996"/>
      <c r="AJ6" s="995" t="s">
        <v>73</v>
      </c>
      <c r="AK6" s="996"/>
      <c r="AL6" s="890" t="s">
        <v>306</v>
      </c>
      <c r="AM6" s="909"/>
      <c r="AN6" s="909"/>
      <c r="AO6" s="891"/>
      <c r="AP6" s="890" t="s">
        <v>307</v>
      </c>
      <c r="AQ6" s="909"/>
      <c r="AR6" s="891"/>
      <c r="AS6" s="890" t="s">
        <v>308</v>
      </c>
      <c r="AT6" s="909"/>
      <c r="AU6" s="909"/>
      <c r="AV6" s="891"/>
      <c r="AW6" s="895" t="s">
        <v>309</v>
      </c>
      <c r="AX6" s="896"/>
      <c r="AY6" s="896"/>
      <c r="AZ6" s="896"/>
      <c r="BA6" s="897"/>
      <c r="BB6" s="890" t="s">
        <v>310</v>
      </c>
      <c r="BC6" s="909"/>
      <c r="BD6" s="909"/>
      <c r="BE6" s="891"/>
      <c r="BF6" s="893" t="s">
        <v>311</v>
      </c>
      <c r="BG6" s="895" t="s">
        <v>312</v>
      </c>
      <c r="BH6" s="896"/>
      <c r="BI6" s="896"/>
      <c r="BJ6" s="897"/>
    </row>
    <row r="7" spans="1:79" ht="22.5" customHeight="1" thickBot="1" x14ac:dyDescent="0.35">
      <c r="A7" s="999"/>
      <c r="B7" s="1000"/>
      <c r="C7" s="1000"/>
      <c r="D7" s="1000"/>
      <c r="E7" s="1000"/>
      <c r="F7" s="1000"/>
      <c r="G7" s="1001"/>
      <c r="H7" s="1004"/>
      <c r="I7" s="945"/>
      <c r="J7" s="945"/>
      <c r="K7" s="945"/>
      <c r="L7" s="946"/>
      <c r="M7" s="997"/>
      <c r="N7" s="998"/>
      <c r="O7" s="997"/>
      <c r="P7" s="998"/>
      <c r="Q7" s="997"/>
      <c r="R7" s="998"/>
      <c r="S7" s="997"/>
      <c r="T7" s="998"/>
      <c r="U7" s="997"/>
      <c r="V7" s="998"/>
      <c r="W7" s="997"/>
      <c r="X7" s="998"/>
      <c r="Y7" s="997"/>
      <c r="Z7" s="998"/>
      <c r="AA7" s="997"/>
      <c r="AB7" s="998"/>
      <c r="AC7" s="1009"/>
      <c r="AD7" s="997"/>
      <c r="AE7" s="998"/>
      <c r="AF7" s="997"/>
      <c r="AG7" s="998"/>
      <c r="AH7" s="997"/>
      <c r="AI7" s="998"/>
      <c r="AJ7" s="997"/>
      <c r="AK7" s="998"/>
      <c r="AL7" s="890" t="s">
        <v>313</v>
      </c>
      <c r="AM7" s="909"/>
      <c r="AN7" s="909"/>
      <c r="AO7" s="891"/>
      <c r="AP7" s="890" t="s">
        <v>86</v>
      </c>
      <c r="AQ7" s="909"/>
      <c r="AR7" s="891"/>
      <c r="AS7" s="890" t="s">
        <v>314</v>
      </c>
      <c r="AT7" s="909"/>
      <c r="AU7" s="909"/>
      <c r="AV7" s="891"/>
      <c r="AW7" s="898"/>
      <c r="AX7" s="899"/>
      <c r="AY7" s="899"/>
      <c r="AZ7" s="899"/>
      <c r="BA7" s="900"/>
      <c r="BB7" s="890" t="s">
        <v>315</v>
      </c>
      <c r="BC7" s="909"/>
      <c r="BD7" s="909"/>
      <c r="BE7" s="891"/>
      <c r="BF7" s="894"/>
      <c r="BG7" s="898"/>
      <c r="BH7" s="899"/>
      <c r="BI7" s="899"/>
      <c r="BJ7" s="900"/>
    </row>
    <row r="8" spans="1:79" ht="119.25" customHeight="1" thickBot="1" x14ac:dyDescent="0.35">
      <c r="A8" s="343" t="s">
        <v>2</v>
      </c>
      <c r="B8" s="344" t="s">
        <v>12</v>
      </c>
      <c r="C8" s="344" t="s">
        <v>13</v>
      </c>
      <c r="D8" s="102" t="s">
        <v>14</v>
      </c>
      <c r="E8" s="102" t="s">
        <v>15</v>
      </c>
      <c r="F8" s="102" t="s">
        <v>16</v>
      </c>
      <c r="G8" s="103" t="s">
        <v>17</v>
      </c>
      <c r="H8" s="251" t="s">
        <v>79</v>
      </c>
      <c r="I8" s="73" t="s">
        <v>80</v>
      </c>
      <c r="J8" s="73" t="s">
        <v>81</v>
      </c>
      <c r="K8" s="73" t="s">
        <v>82</v>
      </c>
      <c r="L8" s="253" t="s">
        <v>83</v>
      </c>
      <c r="M8" s="641" t="s">
        <v>89</v>
      </c>
      <c r="N8" s="642" t="s">
        <v>90</v>
      </c>
      <c r="O8" s="641" t="s">
        <v>91</v>
      </c>
      <c r="P8" s="643" t="s">
        <v>92</v>
      </c>
      <c r="Q8" s="641" t="s">
        <v>89</v>
      </c>
      <c r="R8" s="643" t="s">
        <v>92</v>
      </c>
      <c r="S8" s="641" t="s">
        <v>93</v>
      </c>
      <c r="T8" s="643" t="s">
        <v>94</v>
      </c>
      <c r="U8" s="641" t="s">
        <v>95</v>
      </c>
      <c r="V8" s="643" t="s">
        <v>96</v>
      </c>
      <c r="W8" s="641" t="s">
        <v>95</v>
      </c>
      <c r="X8" s="643" t="s">
        <v>97</v>
      </c>
      <c r="Y8" s="641" t="s">
        <v>95</v>
      </c>
      <c r="Z8" s="643" t="s">
        <v>97</v>
      </c>
      <c r="AA8" s="641" t="s">
        <v>98</v>
      </c>
      <c r="AB8" s="643" t="s">
        <v>99</v>
      </c>
      <c r="AC8" s="644" t="s">
        <v>100</v>
      </c>
      <c r="AD8" s="219" t="s">
        <v>469</v>
      </c>
      <c r="AE8" s="594" t="s">
        <v>470</v>
      </c>
      <c r="AF8" s="219" t="s">
        <v>469</v>
      </c>
      <c r="AG8" s="594" t="s">
        <v>470</v>
      </c>
      <c r="AH8" s="219" t="s">
        <v>469</v>
      </c>
      <c r="AI8" s="594" t="s">
        <v>470</v>
      </c>
      <c r="AJ8" s="219" t="s">
        <v>469</v>
      </c>
      <c r="AK8" s="594" t="s">
        <v>470</v>
      </c>
      <c r="AL8" s="645">
        <v>2015</v>
      </c>
      <c r="AM8" s="76">
        <v>2016</v>
      </c>
      <c r="AN8" s="76">
        <v>2017</v>
      </c>
      <c r="AO8" s="598" t="s">
        <v>316</v>
      </c>
      <c r="AP8" s="645">
        <v>2015</v>
      </c>
      <c r="AQ8" s="76">
        <v>2016</v>
      </c>
      <c r="AR8" s="89">
        <v>2017</v>
      </c>
      <c r="AS8" s="76">
        <v>2015</v>
      </c>
      <c r="AT8" s="76">
        <v>2016</v>
      </c>
      <c r="AU8" s="76">
        <v>2017</v>
      </c>
      <c r="AV8" s="598" t="s">
        <v>317</v>
      </c>
      <c r="AW8" s="233" t="s">
        <v>318</v>
      </c>
      <c r="AX8" s="100" t="s">
        <v>319</v>
      </c>
      <c r="AY8" s="100" t="s">
        <v>320</v>
      </c>
      <c r="AZ8" s="101" t="s">
        <v>321</v>
      </c>
      <c r="BA8" s="595" t="s">
        <v>322</v>
      </c>
      <c r="BB8" s="233" t="s">
        <v>323</v>
      </c>
      <c r="BC8" s="109" t="s">
        <v>324</v>
      </c>
      <c r="BD8" s="109" t="s">
        <v>325</v>
      </c>
      <c r="BE8" s="596" t="s">
        <v>326</v>
      </c>
      <c r="BF8" s="595" t="s">
        <v>327</v>
      </c>
      <c r="BG8" s="645">
        <v>2015</v>
      </c>
      <c r="BH8" s="76">
        <v>2016</v>
      </c>
      <c r="BI8" s="77">
        <v>2017</v>
      </c>
      <c r="BJ8" s="646" t="s">
        <v>328</v>
      </c>
      <c r="CA8" s="7"/>
    </row>
    <row r="9" spans="1:79" ht="30" customHeight="1" x14ac:dyDescent="0.3">
      <c r="A9" s="345" t="s">
        <v>446</v>
      </c>
      <c r="B9" s="647" t="s">
        <v>383</v>
      </c>
      <c r="C9" s="647" t="s">
        <v>383</v>
      </c>
      <c r="D9" s="648" t="s">
        <v>384</v>
      </c>
      <c r="E9" s="648" t="s">
        <v>385</v>
      </c>
      <c r="F9" s="648" t="s">
        <v>386</v>
      </c>
      <c r="G9" s="648" t="s">
        <v>385</v>
      </c>
      <c r="H9" s="91" t="s">
        <v>453</v>
      </c>
      <c r="I9" s="91" t="s">
        <v>454</v>
      </c>
      <c r="J9" s="649">
        <v>8.9155583268800402</v>
      </c>
      <c r="K9" s="649">
        <v>5.8370784795738642</v>
      </c>
      <c r="L9" s="650">
        <v>374</v>
      </c>
      <c r="M9" s="651">
        <v>2</v>
      </c>
      <c r="N9" s="652">
        <f>M9</f>
        <v>2</v>
      </c>
      <c r="O9" s="653">
        <v>0</v>
      </c>
      <c r="P9" s="652">
        <f>O9</f>
        <v>0</v>
      </c>
      <c r="Q9" s="653">
        <v>0</v>
      </c>
      <c r="R9" s="652">
        <f>Q9</f>
        <v>0</v>
      </c>
      <c r="S9" s="653">
        <f>M9+O9+Q9</f>
        <v>2</v>
      </c>
      <c r="T9" s="652">
        <f>S9</f>
        <v>2</v>
      </c>
      <c r="U9" s="654">
        <v>423</v>
      </c>
      <c r="V9" s="655">
        <v>400</v>
      </c>
      <c r="W9" s="656">
        <v>0</v>
      </c>
      <c r="X9" s="657">
        <v>0</v>
      </c>
      <c r="Y9" s="653">
        <v>0</v>
      </c>
      <c r="Z9" s="92">
        <v>0</v>
      </c>
      <c r="AA9" s="658">
        <f>U9+W9+Y9</f>
        <v>423</v>
      </c>
      <c r="AB9" s="249">
        <f>V9+X9+Z9</f>
        <v>400</v>
      </c>
      <c r="AC9" s="659">
        <v>0.10460251046025104</v>
      </c>
      <c r="AD9" s="565">
        <v>651744</v>
      </c>
      <c r="AE9" s="584">
        <v>651744</v>
      </c>
      <c r="AF9" s="565">
        <f>2080*W9</f>
        <v>0</v>
      </c>
      <c r="AG9" s="565">
        <f>2080*X9</f>
        <v>0</v>
      </c>
      <c r="AH9" s="653">
        <v>0</v>
      </c>
      <c r="AI9" s="92">
        <v>0</v>
      </c>
      <c r="AJ9" s="565">
        <v>689871.02399999998</v>
      </c>
      <c r="AK9" s="566">
        <v>689871.02399999998</v>
      </c>
      <c r="AL9" s="660">
        <v>12885167.56948705</v>
      </c>
      <c r="AM9" s="613">
        <v>5452573.9892288074</v>
      </c>
      <c r="AN9" s="613">
        <v>5581681.0428949911</v>
      </c>
      <c r="AO9" s="661" t="s">
        <v>455</v>
      </c>
      <c r="AP9" s="662">
        <v>6.5173607787201728</v>
      </c>
      <c r="AQ9" s="663">
        <v>4.032</v>
      </c>
      <c r="AR9" s="664">
        <v>3.8239999999999998</v>
      </c>
      <c r="AS9" s="665">
        <v>0</v>
      </c>
      <c r="AT9" s="512">
        <v>0</v>
      </c>
      <c r="AU9" s="512">
        <v>1</v>
      </c>
      <c r="AV9" s="655">
        <f>AVERAGE(AS9:AU9)</f>
        <v>0.33333333333333331</v>
      </c>
      <c r="AW9" s="666">
        <v>157.1833</v>
      </c>
      <c r="AX9" s="667">
        <v>45.056669999999997</v>
      </c>
      <c r="AY9" s="663">
        <v>1.7413333</v>
      </c>
      <c r="AZ9" s="668">
        <v>0.30933329999999998</v>
      </c>
      <c r="BA9" s="669" t="s">
        <v>471</v>
      </c>
      <c r="BB9" s="234" t="s">
        <v>383</v>
      </c>
      <c r="BC9" s="93" t="s">
        <v>383</v>
      </c>
      <c r="BD9" s="93" t="s">
        <v>383</v>
      </c>
      <c r="BE9" s="235" t="s">
        <v>383</v>
      </c>
      <c r="BF9" s="237" t="s">
        <v>383</v>
      </c>
      <c r="BG9" s="234" t="s">
        <v>383</v>
      </c>
      <c r="BH9" s="93" t="s">
        <v>383</v>
      </c>
      <c r="BI9" s="93" t="s">
        <v>383</v>
      </c>
      <c r="BJ9" s="295" t="s">
        <v>383</v>
      </c>
    </row>
    <row r="10" spans="1:79" ht="30" customHeight="1" x14ac:dyDescent="0.3">
      <c r="A10" s="346" t="str">
        <f t="shared" ref="A10:A48" si="0">$H$1</f>
        <v>Unitil</v>
      </c>
      <c r="B10" s="66" t="s">
        <v>383</v>
      </c>
      <c r="C10" s="66" t="s">
        <v>383</v>
      </c>
      <c r="D10" s="58" t="s">
        <v>384</v>
      </c>
      <c r="E10" s="58" t="s">
        <v>385</v>
      </c>
      <c r="F10" s="58" t="s">
        <v>388</v>
      </c>
      <c r="G10" s="58" t="s">
        <v>385</v>
      </c>
      <c r="H10" s="128" t="s">
        <v>453</v>
      </c>
      <c r="I10" s="128" t="s">
        <v>454</v>
      </c>
      <c r="J10" s="526">
        <v>8.9155583268800402</v>
      </c>
      <c r="K10" s="526">
        <v>9.3706714094867429</v>
      </c>
      <c r="L10" s="670">
        <v>2001</v>
      </c>
      <c r="M10" s="671">
        <v>66</v>
      </c>
      <c r="N10" s="672">
        <f t="shared" ref="N10:P12" si="1">M10</f>
        <v>66</v>
      </c>
      <c r="O10" s="15">
        <v>1</v>
      </c>
      <c r="P10" s="672">
        <f t="shared" si="1"/>
        <v>1</v>
      </c>
      <c r="Q10" s="15">
        <v>0</v>
      </c>
      <c r="R10" s="672">
        <f t="shared" ref="R10:R12" si="2">Q10</f>
        <v>0</v>
      </c>
      <c r="S10" s="15">
        <f t="shared" ref="S10:V65" si="3">M10+O10+Q10</f>
        <v>67</v>
      </c>
      <c r="T10" s="672">
        <f t="shared" ref="T10:T12" si="4">S10</f>
        <v>67</v>
      </c>
      <c r="U10" s="673">
        <v>546.70000000000005</v>
      </c>
      <c r="V10" s="674">
        <v>451.83499999999998</v>
      </c>
      <c r="W10" s="656">
        <v>1.2</v>
      </c>
      <c r="X10" s="657">
        <v>0</v>
      </c>
      <c r="Y10" s="15">
        <v>0</v>
      </c>
      <c r="Z10" s="10">
        <v>0</v>
      </c>
      <c r="AA10" s="675">
        <f t="shared" ref="AA10:AB12" si="5">U10+W10+Y10</f>
        <v>547.90000000000009</v>
      </c>
      <c r="AB10" s="676">
        <f t="shared" si="5"/>
        <v>451.83499999999998</v>
      </c>
      <c r="AC10" s="564">
        <v>0.15665110650069156</v>
      </c>
      <c r="AD10" s="677">
        <v>736201.87559999991</v>
      </c>
      <c r="AE10" s="584">
        <v>736201.87559999991</v>
      </c>
      <c r="AF10" s="677">
        <v>10512</v>
      </c>
      <c r="AG10" s="678">
        <f t="shared" ref="AF10:AG12" si="6">2080*X10</f>
        <v>0</v>
      </c>
      <c r="AH10" s="15">
        <v>0</v>
      </c>
      <c r="AI10" s="10">
        <v>0</v>
      </c>
      <c r="AJ10" s="677">
        <v>802133.92800000007</v>
      </c>
      <c r="AK10" s="678">
        <v>802133.92800000007</v>
      </c>
      <c r="AL10" s="611">
        <v>15850801.375162635</v>
      </c>
      <c r="AM10" s="618">
        <v>13107233.370728623</v>
      </c>
      <c r="AN10" s="618">
        <v>13242183.409394844</v>
      </c>
      <c r="AO10" s="679" t="s">
        <v>455</v>
      </c>
      <c r="AP10" s="680">
        <v>3.7048566773898286</v>
      </c>
      <c r="AQ10" s="681">
        <v>2.988</v>
      </c>
      <c r="AR10" s="682">
        <v>2.8919999999999999</v>
      </c>
      <c r="AS10" s="683">
        <v>2</v>
      </c>
      <c r="AT10" s="527">
        <v>0</v>
      </c>
      <c r="AU10" s="527">
        <v>1</v>
      </c>
      <c r="AV10" s="674">
        <f t="shared" ref="AV10:AV65" si="7">AVERAGE(AS10:AU10)</f>
        <v>1</v>
      </c>
      <c r="AW10" s="684">
        <v>167.51329999999999</v>
      </c>
      <c r="AX10" s="572">
        <v>42.64</v>
      </c>
      <c r="AY10" s="681">
        <v>2.419</v>
      </c>
      <c r="AZ10" s="685">
        <v>1.0860000000000001</v>
      </c>
      <c r="BA10" s="686" t="s">
        <v>472</v>
      </c>
      <c r="BB10" s="40" t="s">
        <v>383</v>
      </c>
      <c r="BC10" s="22" t="s">
        <v>383</v>
      </c>
      <c r="BD10" s="22" t="s">
        <v>383</v>
      </c>
      <c r="BE10" s="687" t="s">
        <v>383</v>
      </c>
      <c r="BF10" s="238" t="s">
        <v>383</v>
      </c>
      <c r="BG10" s="40" t="s">
        <v>383</v>
      </c>
      <c r="BH10" s="22" t="s">
        <v>383</v>
      </c>
      <c r="BI10" s="22" t="s">
        <v>383</v>
      </c>
      <c r="BJ10" s="296" t="s">
        <v>383</v>
      </c>
    </row>
    <row r="11" spans="1:79" ht="30" customHeight="1" x14ac:dyDescent="0.3">
      <c r="A11" s="346" t="str">
        <f t="shared" si="0"/>
        <v>Unitil</v>
      </c>
      <c r="B11" s="66" t="s">
        <v>383</v>
      </c>
      <c r="C11" s="66" t="s">
        <v>383</v>
      </c>
      <c r="D11" s="58" t="s">
        <v>384</v>
      </c>
      <c r="E11" s="58" t="s">
        <v>385</v>
      </c>
      <c r="F11" s="58" t="s">
        <v>389</v>
      </c>
      <c r="G11" s="58" t="s">
        <v>385</v>
      </c>
      <c r="H11" s="128" t="s">
        <v>453</v>
      </c>
      <c r="I11" s="128" t="s">
        <v>454</v>
      </c>
      <c r="J11" s="526">
        <v>9.5609204577802025</v>
      </c>
      <c r="K11" s="526">
        <v>8.9630501127462114</v>
      </c>
      <c r="L11" s="670">
        <v>1628</v>
      </c>
      <c r="M11" s="671">
        <v>51</v>
      </c>
      <c r="N11" s="672">
        <f t="shared" si="1"/>
        <v>51</v>
      </c>
      <c r="O11" s="15">
        <v>0</v>
      </c>
      <c r="P11" s="672">
        <f t="shared" si="1"/>
        <v>0</v>
      </c>
      <c r="Q11" s="15">
        <v>0</v>
      </c>
      <c r="R11" s="672">
        <f t="shared" si="2"/>
        <v>0</v>
      </c>
      <c r="S11" s="15">
        <f t="shared" si="3"/>
        <v>51</v>
      </c>
      <c r="T11" s="672">
        <f t="shared" si="4"/>
        <v>51</v>
      </c>
      <c r="U11" s="673">
        <v>737.6</v>
      </c>
      <c r="V11" s="674">
        <v>445.08</v>
      </c>
      <c r="W11" s="656">
        <v>0</v>
      </c>
      <c r="X11" s="657">
        <v>0</v>
      </c>
      <c r="Y11" s="15">
        <v>0</v>
      </c>
      <c r="Z11" s="10">
        <v>0</v>
      </c>
      <c r="AA11" s="675">
        <f t="shared" si="5"/>
        <v>737.6</v>
      </c>
      <c r="AB11" s="676">
        <f t="shared" si="5"/>
        <v>445.08</v>
      </c>
      <c r="AC11" s="564">
        <v>0.20769015398973401</v>
      </c>
      <c r="AD11" s="677">
        <v>725195.54879999999</v>
      </c>
      <c r="AE11" s="584">
        <v>725195.54879999999</v>
      </c>
      <c r="AF11" s="677">
        <f t="shared" si="6"/>
        <v>0</v>
      </c>
      <c r="AG11" s="678">
        <f t="shared" si="6"/>
        <v>0</v>
      </c>
      <c r="AH11" s="15">
        <v>0</v>
      </c>
      <c r="AI11" s="10">
        <v>0</v>
      </c>
      <c r="AJ11" s="677">
        <v>1132698.4847999997</v>
      </c>
      <c r="AK11" s="678">
        <v>1132698.4847999997</v>
      </c>
      <c r="AL11" s="611">
        <v>10294498.957632508</v>
      </c>
      <c r="AM11" s="618">
        <v>10238381.086773966</v>
      </c>
      <c r="AN11" s="618">
        <v>9812586.1156062074</v>
      </c>
      <c r="AO11" s="679" t="s">
        <v>455</v>
      </c>
      <c r="AP11" s="680">
        <v>2.4061649818746846</v>
      </c>
      <c r="AQ11" s="681">
        <v>2.3340000000000001</v>
      </c>
      <c r="AR11" s="682">
        <v>2.1429999999999998</v>
      </c>
      <c r="AS11" s="683">
        <v>2</v>
      </c>
      <c r="AT11" s="527">
        <v>1</v>
      </c>
      <c r="AU11" s="527">
        <v>1</v>
      </c>
      <c r="AV11" s="674">
        <f t="shared" si="7"/>
        <v>1.3333333333333333</v>
      </c>
      <c r="AW11" s="684">
        <v>162.91669999999999</v>
      </c>
      <c r="AX11" s="572">
        <v>62.023330000000001</v>
      </c>
      <c r="AY11" s="681">
        <v>2.4853333000000002</v>
      </c>
      <c r="AZ11" s="685">
        <v>1.3633333000000001</v>
      </c>
      <c r="BA11" s="686" t="s">
        <v>472</v>
      </c>
      <c r="BB11" s="40" t="s">
        <v>383</v>
      </c>
      <c r="BC11" s="22" t="s">
        <v>383</v>
      </c>
      <c r="BD11" s="22" t="s">
        <v>383</v>
      </c>
      <c r="BE11" s="687" t="s">
        <v>383</v>
      </c>
      <c r="BF11" s="238" t="s">
        <v>383</v>
      </c>
      <c r="BG11" s="40" t="s">
        <v>383</v>
      </c>
      <c r="BH11" s="22" t="s">
        <v>383</v>
      </c>
      <c r="BI11" s="22" t="s">
        <v>383</v>
      </c>
      <c r="BJ11" s="296" t="s">
        <v>383</v>
      </c>
    </row>
    <row r="12" spans="1:79" ht="30" customHeight="1" x14ac:dyDescent="0.3">
      <c r="A12" s="346" t="str">
        <f t="shared" si="0"/>
        <v>Unitil</v>
      </c>
      <c r="B12" s="66" t="s">
        <v>383</v>
      </c>
      <c r="C12" s="66" t="s">
        <v>383</v>
      </c>
      <c r="D12" s="58" t="s">
        <v>384</v>
      </c>
      <c r="E12" s="58" t="s">
        <v>385</v>
      </c>
      <c r="F12" s="58" t="s">
        <v>390</v>
      </c>
      <c r="G12" s="58" t="s">
        <v>385</v>
      </c>
      <c r="H12" s="128" t="s">
        <v>453</v>
      </c>
      <c r="I12" s="128" t="s">
        <v>454</v>
      </c>
      <c r="J12" s="526">
        <v>8.9155583268800402</v>
      </c>
      <c r="K12" s="526">
        <v>0</v>
      </c>
      <c r="L12" s="670">
        <v>0</v>
      </c>
      <c r="M12" s="18">
        <v>0</v>
      </c>
      <c r="N12" s="10">
        <f t="shared" si="1"/>
        <v>0</v>
      </c>
      <c r="O12" s="15">
        <v>0</v>
      </c>
      <c r="P12" s="10">
        <f t="shared" si="1"/>
        <v>0</v>
      </c>
      <c r="Q12" s="15">
        <v>0</v>
      </c>
      <c r="R12" s="10">
        <f t="shared" si="2"/>
        <v>0</v>
      </c>
      <c r="S12" s="15">
        <f t="shared" si="3"/>
        <v>0</v>
      </c>
      <c r="T12" s="10">
        <f t="shared" si="4"/>
        <v>0</v>
      </c>
      <c r="U12" s="688">
        <v>0</v>
      </c>
      <c r="V12" s="689">
        <v>0</v>
      </c>
      <c r="W12" s="656">
        <v>0</v>
      </c>
      <c r="X12" s="657">
        <v>0</v>
      </c>
      <c r="Y12" s="15">
        <v>0</v>
      </c>
      <c r="Z12" s="10">
        <v>0</v>
      </c>
      <c r="AA12" s="675">
        <f t="shared" si="5"/>
        <v>0</v>
      </c>
      <c r="AB12" s="676">
        <f t="shared" si="5"/>
        <v>0</v>
      </c>
      <c r="AC12" s="564"/>
      <c r="AD12" s="677"/>
      <c r="AE12" s="678">
        <f>1302*V12</f>
        <v>0</v>
      </c>
      <c r="AF12" s="677">
        <f t="shared" si="6"/>
        <v>0</v>
      </c>
      <c r="AG12" s="678">
        <f t="shared" si="6"/>
        <v>0</v>
      </c>
      <c r="AH12" s="15">
        <v>0</v>
      </c>
      <c r="AI12" s="10">
        <v>0</v>
      </c>
      <c r="AJ12" s="690">
        <f t="shared" ref="AJ12:AK12" si="8">AD12+AF12+AH12</f>
        <v>0</v>
      </c>
      <c r="AK12" s="691">
        <f t="shared" si="8"/>
        <v>0</v>
      </c>
      <c r="AL12" s="611">
        <v>0</v>
      </c>
      <c r="AM12" s="618">
        <v>0</v>
      </c>
      <c r="AN12" s="618">
        <v>0</v>
      </c>
      <c r="AO12" s="679" t="s">
        <v>455</v>
      </c>
      <c r="AP12" s="680">
        <v>0</v>
      </c>
      <c r="AQ12" s="681">
        <v>0</v>
      </c>
      <c r="AR12" s="682">
        <v>0</v>
      </c>
      <c r="AS12" s="683">
        <v>0</v>
      </c>
      <c r="AT12" s="527">
        <v>0</v>
      </c>
      <c r="AU12" s="527">
        <v>0</v>
      </c>
      <c r="AV12" s="674">
        <f t="shared" si="7"/>
        <v>0</v>
      </c>
      <c r="AW12" s="684" t="s">
        <v>383</v>
      </c>
      <c r="AX12" s="572" t="s">
        <v>383</v>
      </c>
      <c r="AY12" s="681" t="s">
        <v>383</v>
      </c>
      <c r="AZ12" s="685" t="s">
        <v>383</v>
      </c>
      <c r="BA12" s="686" t="s">
        <v>473</v>
      </c>
      <c r="BB12" s="40" t="s">
        <v>383</v>
      </c>
      <c r="BC12" s="22" t="s">
        <v>383</v>
      </c>
      <c r="BD12" s="22" t="s">
        <v>383</v>
      </c>
      <c r="BE12" s="687" t="s">
        <v>383</v>
      </c>
      <c r="BF12" s="238" t="s">
        <v>383</v>
      </c>
      <c r="BG12" s="40" t="s">
        <v>383</v>
      </c>
      <c r="BH12" s="22" t="s">
        <v>383</v>
      </c>
      <c r="BI12" s="22" t="s">
        <v>383</v>
      </c>
      <c r="BJ12" s="296" t="s">
        <v>383</v>
      </c>
    </row>
    <row r="13" spans="1:79" ht="30" customHeight="1" x14ac:dyDescent="0.3">
      <c r="A13" s="346" t="str">
        <f t="shared" si="0"/>
        <v>Unitil</v>
      </c>
      <c r="B13" s="66" t="s">
        <v>383</v>
      </c>
      <c r="C13" s="66" t="s">
        <v>383</v>
      </c>
      <c r="D13" s="58" t="s">
        <v>384</v>
      </c>
      <c r="E13" s="58" t="s">
        <v>385</v>
      </c>
      <c r="F13" s="496"/>
      <c r="G13" s="496"/>
      <c r="H13" s="496"/>
      <c r="I13" s="496"/>
      <c r="J13" s="692"/>
      <c r="K13" s="692"/>
      <c r="L13" s="693"/>
      <c r="M13" s="694"/>
      <c r="N13" s="497"/>
      <c r="O13" s="569"/>
      <c r="P13" s="497"/>
      <c r="Q13" s="569"/>
      <c r="R13" s="497"/>
      <c r="S13" s="569"/>
      <c r="T13" s="497"/>
      <c r="U13" s="695"/>
      <c r="V13" s="696"/>
      <c r="W13" s="697"/>
      <c r="X13" s="698"/>
      <c r="Y13" s="569"/>
      <c r="Z13" s="497"/>
      <c r="AA13" s="529"/>
      <c r="AB13" s="699"/>
      <c r="AC13" s="700"/>
      <c r="AD13" s="569"/>
      <c r="AE13" s="497"/>
      <c r="AF13" s="569"/>
      <c r="AG13" s="497"/>
      <c r="AH13" s="569"/>
      <c r="AI13" s="497"/>
      <c r="AJ13" s="569"/>
      <c r="AK13" s="497"/>
      <c r="AL13" s="701"/>
      <c r="AM13" s="702"/>
      <c r="AN13" s="702"/>
      <c r="AO13" s="497"/>
      <c r="AP13" s="703"/>
      <c r="AQ13" s="692"/>
      <c r="AR13" s="704"/>
      <c r="AS13" s="569"/>
      <c r="AT13" s="496"/>
      <c r="AU13" s="496"/>
      <c r="AV13" s="497"/>
      <c r="AW13" s="569"/>
      <c r="AX13" s="496"/>
      <c r="AY13" s="496"/>
      <c r="AZ13" s="497"/>
      <c r="BA13" s="705"/>
      <c r="BB13" s="569"/>
      <c r="BC13" s="496"/>
      <c r="BD13" s="496"/>
      <c r="BE13" s="497"/>
      <c r="BF13" s="705"/>
      <c r="BG13" s="569"/>
      <c r="BH13" s="496"/>
      <c r="BI13" s="496"/>
      <c r="BJ13" s="497"/>
    </row>
    <row r="14" spans="1:79" ht="30" customHeight="1" x14ac:dyDescent="0.3">
      <c r="A14" s="346" t="str">
        <f t="shared" si="0"/>
        <v>Unitil</v>
      </c>
      <c r="B14" s="66" t="s">
        <v>383</v>
      </c>
      <c r="C14" s="66" t="s">
        <v>383</v>
      </c>
      <c r="D14" s="58" t="s">
        <v>391</v>
      </c>
      <c r="E14" s="58" t="s">
        <v>385</v>
      </c>
      <c r="F14" s="58" t="s">
        <v>392</v>
      </c>
      <c r="G14" s="58" t="s">
        <v>385</v>
      </c>
      <c r="H14" s="128" t="s">
        <v>453</v>
      </c>
      <c r="I14" s="128" t="s">
        <v>457</v>
      </c>
      <c r="J14" s="526">
        <v>2.0174927806562279</v>
      </c>
      <c r="K14" s="526">
        <v>3.8659904927253792</v>
      </c>
      <c r="L14" s="670">
        <v>734</v>
      </c>
      <c r="M14" s="706">
        <v>35</v>
      </c>
      <c r="N14" s="707">
        <f t="shared" ref="N14:P16" si="9">M14</f>
        <v>35</v>
      </c>
      <c r="O14" s="15">
        <v>0</v>
      </c>
      <c r="P14" s="707">
        <f t="shared" si="9"/>
        <v>0</v>
      </c>
      <c r="Q14" s="15">
        <v>0</v>
      </c>
      <c r="R14" s="707">
        <f t="shared" ref="R14:R16" si="10">Q14</f>
        <v>0</v>
      </c>
      <c r="S14" s="15">
        <f t="shared" si="3"/>
        <v>35</v>
      </c>
      <c r="T14" s="707">
        <f t="shared" ref="T14:T16" si="11">S14</f>
        <v>35</v>
      </c>
      <c r="U14" s="673">
        <v>233.6</v>
      </c>
      <c r="V14" s="674">
        <v>128.785</v>
      </c>
      <c r="W14" s="656">
        <v>0</v>
      </c>
      <c r="X14" s="657">
        <v>0</v>
      </c>
      <c r="Y14" s="15">
        <v>0</v>
      </c>
      <c r="Z14" s="10">
        <v>0</v>
      </c>
      <c r="AA14" s="675">
        <f t="shared" ref="AA14:AB16" si="12">U14+W14+Y14</f>
        <v>233.6</v>
      </c>
      <c r="AB14" s="676">
        <f t="shared" si="12"/>
        <v>128.785</v>
      </c>
      <c r="AC14" s="564">
        <v>0.14261904761904762</v>
      </c>
      <c r="AD14" s="677">
        <v>209837.12760000001</v>
      </c>
      <c r="AE14" s="678">
        <v>209837.12760000001</v>
      </c>
      <c r="AF14" s="677">
        <f t="shared" ref="AF14:AG16" si="13">2080*W14</f>
        <v>0</v>
      </c>
      <c r="AG14" s="678">
        <f t="shared" si="13"/>
        <v>0</v>
      </c>
      <c r="AH14" s="15">
        <v>0</v>
      </c>
      <c r="AI14" s="10">
        <v>0</v>
      </c>
      <c r="AJ14" s="690">
        <f t="shared" ref="AJ14:AK16" si="14">AD14+AF14+AH14</f>
        <v>209837.12760000001</v>
      </c>
      <c r="AK14" s="691">
        <f t="shared" si="14"/>
        <v>209837.12760000001</v>
      </c>
      <c r="AL14" s="611">
        <v>4346632.0965943877</v>
      </c>
      <c r="AM14" s="618">
        <v>4329598.1716563422</v>
      </c>
      <c r="AN14" s="618">
        <v>4134748.1392405066</v>
      </c>
      <c r="AO14" s="679" t="s">
        <v>455</v>
      </c>
      <c r="AP14" s="680">
        <v>1.0159517216876008</v>
      </c>
      <c r="AQ14" s="681">
        <v>0.98699999999999999</v>
      </c>
      <c r="AR14" s="682">
        <v>0.90300000000000002</v>
      </c>
      <c r="AS14" s="683">
        <v>0</v>
      </c>
      <c r="AT14" s="527">
        <v>0</v>
      </c>
      <c r="AU14" s="527">
        <v>0</v>
      </c>
      <c r="AV14" s="674">
        <f t="shared" si="7"/>
        <v>0</v>
      </c>
      <c r="AW14" s="684">
        <v>133.33670000000001</v>
      </c>
      <c r="AX14" s="572">
        <v>51.593330000000002</v>
      </c>
      <c r="AY14" s="681">
        <v>2.29</v>
      </c>
      <c r="AZ14" s="685">
        <v>1.1436667</v>
      </c>
      <c r="BA14" s="686" t="s">
        <v>474</v>
      </c>
      <c r="BB14" s="40" t="s">
        <v>383</v>
      </c>
      <c r="BC14" s="22" t="s">
        <v>383</v>
      </c>
      <c r="BD14" s="22" t="s">
        <v>383</v>
      </c>
      <c r="BE14" s="687" t="s">
        <v>383</v>
      </c>
      <c r="BF14" s="238" t="s">
        <v>383</v>
      </c>
      <c r="BG14" s="40" t="s">
        <v>383</v>
      </c>
      <c r="BH14" s="22" t="s">
        <v>383</v>
      </c>
      <c r="BI14" s="22" t="s">
        <v>383</v>
      </c>
      <c r="BJ14" s="296" t="s">
        <v>383</v>
      </c>
    </row>
    <row r="15" spans="1:79" ht="30" customHeight="1" x14ac:dyDescent="0.3">
      <c r="A15" s="346" t="str">
        <f t="shared" si="0"/>
        <v>Unitil</v>
      </c>
      <c r="B15" s="66" t="s">
        <v>383</v>
      </c>
      <c r="C15" s="66" t="s">
        <v>383</v>
      </c>
      <c r="D15" s="58" t="s">
        <v>391</v>
      </c>
      <c r="E15" s="58" t="s">
        <v>385</v>
      </c>
      <c r="F15" s="58" t="s">
        <v>393</v>
      </c>
      <c r="G15" s="58" t="s">
        <v>385</v>
      </c>
      <c r="H15" s="128" t="s">
        <v>453</v>
      </c>
      <c r="I15" s="128" t="s">
        <v>457</v>
      </c>
      <c r="J15" s="526">
        <v>2.0174927806562279</v>
      </c>
      <c r="K15" s="526">
        <v>2.6697901092261933</v>
      </c>
      <c r="L15" s="670">
        <v>367</v>
      </c>
      <c r="M15" s="706">
        <v>6</v>
      </c>
      <c r="N15" s="707">
        <f t="shared" si="9"/>
        <v>6</v>
      </c>
      <c r="O15" s="15">
        <v>0</v>
      </c>
      <c r="P15" s="707">
        <f t="shared" si="9"/>
        <v>0</v>
      </c>
      <c r="Q15" s="15">
        <v>0</v>
      </c>
      <c r="R15" s="707">
        <f t="shared" si="10"/>
        <v>0</v>
      </c>
      <c r="S15" s="15">
        <f t="shared" si="3"/>
        <v>6</v>
      </c>
      <c r="T15" s="707">
        <f t="shared" si="11"/>
        <v>6</v>
      </c>
      <c r="U15" s="673">
        <v>41.1</v>
      </c>
      <c r="V15" s="674">
        <v>25.23</v>
      </c>
      <c r="W15" s="656">
        <v>0</v>
      </c>
      <c r="X15" s="657">
        <v>0</v>
      </c>
      <c r="Y15" s="15">
        <v>0</v>
      </c>
      <c r="Z15" s="10">
        <v>0</v>
      </c>
      <c r="AA15" s="675">
        <f t="shared" si="12"/>
        <v>41.1</v>
      </c>
      <c r="AB15" s="676">
        <f t="shared" si="12"/>
        <v>25.23</v>
      </c>
      <c r="AC15" s="564">
        <v>2.7070815450643777E-2</v>
      </c>
      <c r="AD15" s="677">
        <v>41108.752800000002</v>
      </c>
      <c r="AE15" s="678">
        <v>41108.752800000002</v>
      </c>
      <c r="AF15" s="677">
        <f t="shared" si="13"/>
        <v>0</v>
      </c>
      <c r="AG15" s="678">
        <f t="shared" si="13"/>
        <v>0</v>
      </c>
      <c r="AH15" s="15">
        <v>0</v>
      </c>
      <c r="AI15" s="10">
        <v>0</v>
      </c>
      <c r="AJ15" s="690">
        <f t="shared" si="14"/>
        <v>41108.752800000002</v>
      </c>
      <c r="AK15" s="691">
        <f t="shared" si="14"/>
        <v>41108.752800000002</v>
      </c>
      <c r="AL15" s="611">
        <v>4028084.5906973993</v>
      </c>
      <c r="AM15" s="618">
        <v>4075173.9629875808</v>
      </c>
      <c r="AN15" s="618">
        <v>4267536.2854619622</v>
      </c>
      <c r="AO15" s="679" t="s">
        <v>455</v>
      </c>
      <c r="AP15" s="680">
        <v>0.94149663097290659</v>
      </c>
      <c r="AQ15" s="681">
        <v>0.92900000000000005</v>
      </c>
      <c r="AR15" s="682">
        <v>0.93200000000000005</v>
      </c>
      <c r="AS15" s="683">
        <v>0</v>
      </c>
      <c r="AT15" s="527">
        <v>0</v>
      </c>
      <c r="AU15" s="527">
        <v>0</v>
      </c>
      <c r="AV15" s="674">
        <f t="shared" si="7"/>
        <v>0</v>
      </c>
      <c r="AW15" s="684">
        <v>132.6</v>
      </c>
      <c r="AX15" s="572">
        <v>61.88</v>
      </c>
      <c r="AY15" s="681">
        <v>2.0993333000000001</v>
      </c>
      <c r="AZ15" s="685">
        <v>1.1026667000000001</v>
      </c>
      <c r="BA15" s="686" t="s">
        <v>475</v>
      </c>
      <c r="BB15" s="40" t="s">
        <v>383</v>
      </c>
      <c r="BC15" s="22" t="s">
        <v>383</v>
      </c>
      <c r="BD15" s="22" t="s">
        <v>383</v>
      </c>
      <c r="BE15" s="687" t="s">
        <v>383</v>
      </c>
      <c r="BF15" s="238" t="s">
        <v>383</v>
      </c>
      <c r="BG15" s="40" t="s">
        <v>383</v>
      </c>
      <c r="BH15" s="22" t="s">
        <v>383</v>
      </c>
      <c r="BI15" s="22" t="s">
        <v>383</v>
      </c>
      <c r="BJ15" s="296" t="s">
        <v>383</v>
      </c>
    </row>
    <row r="16" spans="1:79" ht="30" customHeight="1" x14ac:dyDescent="0.3">
      <c r="A16" s="346" t="str">
        <f t="shared" si="0"/>
        <v>Unitil</v>
      </c>
      <c r="B16" s="66" t="s">
        <v>383</v>
      </c>
      <c r="C16" s="66" t="s">
        <v>383</v>
      </c>
      <c r="D16" s="58" t="s">
        <v>391</v>
      </c>
      <c r="E16" s="58" t="s">
        <v>385</v>
      </c>
      <c r="F16" s="58" t="s">
        <v>394</v>
      </c>
      <c r="G16" s="58" t="s">
        <v>385</v>
      </c>
      <c r="H16" s="128" t="s">
        <v>453</v>
      </c>
      <c r="I16" s="128" t="s">
        <v>454</v>
      </c>
      <c r="J16" s="526">
        <v>12.692121907703218</v>
      </c>
      <c r="K16" s="526">
        <v>19.601120725587119</v>
      </c>
      <c r="L16" s="670">
        <v>1705</v>
      </c>
      <c r="M16" s="706">
        <v>105</v>
      </c>
      <c r="N16" s="707">
        <f t="shared" si="9"/>
        <v>105</v>
      </c>
      <c r="O16" s="15">
        <v>0</v>
      </c>
      <c r="P16" s="707">
        <f t="shared" si="9"/>
        <v>0</v>
      </c>
      <c r="Q16" s="15">
        <v>0</v>
      </c>
      <c r="R16" s="707">
        <f t="shared" si="10"/>
        <v>0</v>
      </c>
      <c r="S16" s="15">
        <f t="shared" si="3"/>
        <v>105</v>
      </c>
      <c r="T16" s="707">
        <f t="shared" si="11"/>
        <v>105</v>
      </c>
      <c r="U16" s="673">
        <v>786.4</v>
      </c>
      <c r="V16" s="674">
        <v>576.85</v>
      </c>
      <c r="W16" s="656">
        <v>0</v>
      </c>
      <c r="X16" s="657">
        <v>0</v>
      </c>
      <c r="Y16" s="15">
        <v>0</v>
      </c>
      <c r="Z16" s="10">
        <v>0</v>
      </c>
      <c r="AA16" s="675">
        <v>576.85</v>
      </c>
      <c r="AB16" s="676">
        <f t="shared" si="12"/>
        <v>576.85</v>
      </c>
      <c r="AC16" s="708">
        <v>0.14363794820717132</v>
      </c>
      <c r="AD16" s="584">
        <v>939896.31599999999</v>
      </c>
      <c r="AE16" s="678">
        <v>939896.31599999999</v>
      </c>
      <c r="AF16" s="677">
        <f t="shared" si="13"/>
        <v>0</v>
      </c>
      <c r="AG16" s="678">
        <f t="shared" si="13"/>
        <v>0</v>
      </c>
      <c r="AH16" s="15">
        <v>0</v>
      </c>
      <c r="AI16" s="10">
        <v>0</v>
      </c>
      <c r="AJ16" s="690">
        <f t="shared" si="14"/>
        <v>939896.31599999999</v>
      </c>
      <c r="AK16" s="691">
        <f t="shared" si="14"/>
        <v>939896.31599999999</v>
      </c>
      <c r="AL16" s="611">
        <v>21611630.262049701</v>
      </c>
      <c r="AM16" s="618">
        <v>18941443.672960572</v>
      </c>
      <c r="AN16" s="618">
        <v>18388868.800874721</v>
      </c>
      <c r="AO16" s="679" t="s">
        <v>455</v>
      </c>
      <c r="AP16" s="680">
        <v>5.0513529751938737</v>
      </c>
      <c r="AQ16" s="681">
        <v>4.3179999999999996</v>
      </c>
      <c r="AR16" s="682">
        <v>4.016</v>
      </c>
      <c r="AS16" s="683">
        <v>0</v>
      </c>
      <c r="AT16" s="527">
        <v>2</v>
      </c>
      <c r="AU16" s="527">
        <v>2</v>
      </c>
      <c r="AV16" s="674">
        <f t="shared" si="7"/>
        <v>1.3333333333333333</v>
      </c>
      <c r="AW16" s="684">
        <v>90.736670000000004</v>
      </c>
      <c r="AX16" s="572">
        <v>66.836669999999998</v>
      </c>
      <c r="AY16" s="681">
        <v>1.5256666999999999</v>
      </c>
      <c r="AZ16" s="685">
        <v>0.82833330000000005</v>
      </c>
      <c r="BA16" s="686" t="s">
        <v>476</v>
      </c>
      <c r="BB16" s="40" t="s">
        <v>383</v>
      </c>
      <c r="BC16" s="22" t="s">
        <v>383</v>
      </c>
      <c r="BD16" s="22" t="s">
        <v>383</v>
      </c>
      <c r="BE16" s="687" t="s">
        <v>383</v>
      </c>
      <c r="BF16" s="238" t="s">
        <v>383</v>
      </c>
      <c r="BG16" s="40" t="s">
        <v>383</v>
      </c>
      <c r="BH16" s="22" t="s">
        <v>383</v>
      </c>
      <c r="BI16" s="22" t="s">
        <v>383</v>
      </c>
      <c r="BJ16" s="296" t="s">
        <v>383</v>
      </c>
    </row>
    <row r="17" spans="1:62" ht="30" customHeight="1" x14ac:dyDescent="0.3">
      <c r="A17" s="346" t="str">
        <f t="shared" si="0"/>
        <v>Unitil</v>
      </c>
      <c r="B17" s="66" t="s">
        <v>383</v>
      </c>
      <c r="C17" s="66" t="s">
        <v>383</v>
      </c>
      <c r="D17" s="58" t="s">
        <v>391</v>
      </c>
      <c r="E17" s="58" t="s">
        <v>385</v>
      </c>
      <c r="F17" s="496"/>
      <c r="G17" s="496"/>
      <c r="H17" s="496"/>
      <c r="I17" s="496"/>
      <c r="J17" s="692"/>
      <c r="K17" s="692"/>
      <c r="L17" s="693"/>
      <c r="M17" s="694"/>
      <c r="N17" s="497"/>
      <c r="O17" s="569"/>
      <c r="P17" s="497"/>
      <c r="Q17" s="569"/>
      <c r="R17" s="497"/>
      <c r="S17" s="569"/>
      <c r="T17" s="497"/>
      <c r="U17" s="695"/>
      <c r="V17" s="696"/>
      <c r="W17" s="697"/>
      <c r="X17" s="698"/>
      <c r="Y17" s="569"/>
      <c r="Z17" s="497"/>
      <c r="AA17" s="529"/>
      <c r="AB17" s="699"/>
      <c r="AC17" s="700"/>
      <c r="AD17" s="569"/>
      <c r="AE17" s="497"/>
      <c r="AF17" s="569"/>
      <c r="AG17" s="497"/>
      <c r="AH17" s="569"/>
      <c r="AI17" s="497"/>
      <c r="AJ17" s="569"/>
      <c r="AK17" s="497"/>
      <c r="AL17" s="701"/>
      <c r="AM17" s="702"/>
      <c r="AN17" s="702"/>
      <c r="AO17" s="497"/>
      <c r="AP17" s="703"/>
      <c r="AQ17" s="692"/>
      <c r="AR17" s="704"/>
      <c r="AS17" s="569"/>
      <c r="AT17" s="496"/>
      <c r="AU17" s="496"/>
      <c r="AV17" s="497"/>
      <c r="AW17" s="569"/>
      <c r="AX17" s="496"/>
      <c r="AY17" s="496"/>
      <c r="AZ17" s="497"/>
      <c r="BA17" s="705"/>
      <c r="BB17" s="569"/>
      <c r="BC17" s="496"/>
      <c r="BD17" s="496"/>
      <c r="BE17" s="497"/>
      <c r="BF17" s="705"/>
      <c r="BG17" s="569"/>
      <c r="BH17" s="496"/>
      <c r="BI17" s="496"/>
      <c r="BJ17" s="497"/>
    </row>
    <row r="18" spans="1:62" ht="30" customHeight="1" x14ac:dyDescent="0.3">
      <c r="A18" s="346" t="str">
        <f t="shared" si="0"/>
        <v>Unitil</v>
      </c>
      <c r="B18" s="66" t="s">
        <v>383</v>
      </c>
      <c r="C18" s="66" t="s">
        <v>383</v>
      </c>
      <c r="D18" s="58" t="s">
        <v>395</v>
      </c>
      <c r="E18" s="58" t="s">
        <v>395</v>
      </c>
      <c r="F18" s="58" t="s">
        <v>396</v>
      </c>
      <c r="G18" s="58" t="s">
        <v>395</v>
      </c>
      <c r="H18" s="128" t="s">
        <v>383</v>
      </c>
      <c r="I18" s="128" t="s">
        <v>383</v>
      </c>
      <c r="J18" s="526" t="s">
        <v>383</v>
      </c>
      <c r="K18" s="526" t="s">
        <v>383</v>
      </c>
      <c r="L18" s="670" t="s">
        <v>383</v>
      </c>
      <c r="M18" s="18">
        <v>0</v>
      </c>
      <c r="N18" s="10">
        <f t="shared" ref="N18:P21" si="15">M18</f>
        <v>0</v>
      </c>
      <c r="O18" s="15">
        <v>0</v>
      </c>
      <c r="P18" s="10">
        <f t="shared" si="15"/>
        <v>0</v>
      </c>
      <c r="Q18" s="15">
        <v>0</v>
      </c>
      <c r="R18" s="10">
        <f t="shared" ref="R18:R21" si="16">Q18</f>
        <v>0</v>
      </c>
      <c r="S18" s="15">
        <f t="shared" si="3"/>
        <v>0</v>
      </c>
      <c r="T18" s="10">
        <f t="shared" ref="T18:T21" si="17">S18</f>
        <v>0</v>
      </c>
      <c r="U18" s="673">
        <v>0</v>
      </c>
      <c r="V18" s="689">
        <v>0</v>
      </c>
      <c r="W18" s="656">
        <v>0</v>
      </c>
      <c r="X18" s="657">
        <v>0</v>
      </c>
      <c r="Y18" s="15">
        <v>0</v>
      </c>
      <c r="Z18" s="10">
        <v>0</v>
      </c>
      <c r="AA18" s="675">
        <f t="shared" ref="AA18:AB21" si="18">U18+W18+Y18</f>
        <v>0</v>
      </c>
      <c r="AB18" s="676">
        <f t="shared" si="18"/>
        <v>0</v>
      </c>
      <c r="AC18" s="564"/>
      <c r="AD18" s="677"/>
      <c r="AE18" s="678">
        <f>1302*V18</f>
        <v>0</v>
      </c>
      <c r="AF18" s="677">
        <f t="shared" ref="AF18:AG21" si="19">2080*W18</f>
        <v>0</v>
      </c>
      <c r="AG18" s="678">
        <f t="shared" si="19"/>
        <v>0</v>
      </c>
      <c r="AH18" s="15">
        <v>0</v>
      </c>
      <c r="AI18" s="10">
        <v>0</v>
      </c>
      <c r="AJ18" s="690">
        <f t="shared" ref="AJ18:AK21" si="20">AD18+AF18+AH18</f>
        <v>0</v>
      </c>
      <c r="AK18" s="691">
        <f t="shared" si="20"/>
        <v>0</v>
      </c>
      <c r="AL18" s="611">
        <v>0</v>
      </c>
      <c r="AM18" s="618">
        <v>0</v>
      </c>
      <c r="AN18" s="618">
        <v>0</v>
      </c>
      <c r="AO18" s="679" t="s">
        <v>455</v>
      </c>
      <c r="AP18" s="680">
        <v>0</v>
      </c>
      <c r="AQ18" s="681">
        <v>0</v>
      </c>
      <c r="AR18" s="682">
        <v>0</v>
      </c>
      <c r="AS18" s="683">
        <v>0</v>
      </c>
      <c r="AT18" s="527">
        <v>0</v>
      </c>
      <c r="AU18" s="527">
        <v>0</v>
      </c>
      <c r="AV18" s="674">
        <f t="shared" si="7"/>
        <v>0</v>
      </c>
      <c r="AW18" s="684" t="s">
        <v>383</v>
      </c>
      <c r="AX18" s="572" t="s">
        <v>383</v>
      </c>
      <c r="AY18" s="681" t="s">
        <v>383</v>
      </c>
      <c r="AZ18" s="685" t="s">
        <v>383</v>
      </c>
      <c r="BA18" s="686" t="s">
        <v>473</v>
      </c>
      <c r="BB18" s="40" t="s">
        <v>383</v>
      </c>
      <c r="BC18" s="22" t="s">
        <v>383</v>
      </c>
      <c r="BD18" s="22" t="s">
        <v>383</v>
      </c>
      <c r="BE18" s="687" t="s">
        <v>383</v>
      </c>
      <c r="BF18" s="238" t="s">
        <v>383</v>
      </c>
      <c r="BG18" s="40" t="s">
        <v>383</v>
      </c>
      <c r="BH18" s="22" t="s">
        <v>383</v>
      </c>
      <c r="BI18" s="22" t="s">
        <v>383</v>
      </c>
      <c r="BJ18" s="296" t="s">
        <v>383</v>
      </c>
    </row>
    <row r="19" spans="1:62" ht="30" customHeight="1" x14ac:dyDescent="0.3">
      <c r="A19" s="346" t="str">
        <f t="shared" si="0"/>
        <v>Unitil</v>
      </c>
      <c r="B19" s="66" t="s">
        <v>383</v>
      </c>
      <c r="C19" s="66" t="s">
        <v>383</v>
      </c>
      <c r="D19" s="58" t="s">
        <v>395</v>
      </c>
      <c r="E19" s="58" t="s">
        <v>395</v>
      </c>
      <c r="F19" s="58" t="s">
        <v>397</v>
      </c>
      <c r="G19" s="58" t="s">
        <v>395</v>
      </c>
      <c r="H19" s="128" t="s">
        <v>453</v>
      </c>
      <c r="I19" s="128" t="s">
        <v>454</v>
      </c>
      <c r="J19" s="526">
        <v>9.5609204577802025</v>
      </c>
      <c r="K19" s="526">
        <v>7.5962175152935602E-2</v>
      </c>
      <c r="L19" s="670">
        <v>1</v>
      </c>
      <c r="M19" s="18">
        <v>0</v>
      </c>
      <c r="N19" s="10">
        <f t="shared" si="15"/>
        <v>0</v>
      </c>
      <c r="O19" s="15">
        <v>0</v>
      </c>
      <c r="P19" s="10">
        <f t="shared" si="15"/>
        <v>0</v>
      </c>
      <c r="Q19" s="15">
        <v>0</v>
      </c>
      <c r="R19" s="10">
        <f t="shared" si="16"/>
        <v>0</v>
      </c>
      <c r="S19" s="15">
        <f t="shared" si="3"/>
        <v>0</v>
      </c>
      <c r="T19" s="10">
        <f t="shared" si="17"/>
        <v>0</v>
      </c>
      <c r="U19" s="673"/>
      <c r="V19" s="674"/>
      <c r="W19" s="656">
        <v>0</v>
      </c>
      <c r="X19" s="657">
        <v>0</v>
      </c>
      <c r="Y19" s="15">
        <v>0</v>
      </c>
      <c r="Z19" s="10">
        <v>0</v>
      </c>
      <c r="AA19" s="675">
        <f t="shared" si="18"/>
        <v>0</v>
      </c>
      <c r="AB19" s="676">
        <f t="shared" si="18"/>
        <v>0</v>
      </c>
      <c r="AC19" s="564">
        <v>0</v>
      </c>
      <c r="AD19" s="677"/>
      <c r="AE19" s="678">
        <f>1302*V19</f>
        <v>0</v>
      </c>
      <c r="AF19" s="677">
        <f t="shared" si="19"/>
        <v>0</v>
      </c>
      <c r="AG19" s="678">
        <f t="shared" si="19"/>
        <v>0</v>
      </c>
      <c r="AH19" s="15">
        <v>0</v>
      </c>
      <c r="AI19" s="10">
        <v>0</v>
      </c>
      <c r="AJ19" s="690">
        <f t="shared" si="20"/>
        <v>0</v>
      </c>
      <c r="AK19" s="691">
        <f t="shared" si="20"/>
        <v>0</v>
      </c>
      <c r="AL19" s="611">
        <v>16498468.528126271</v>
      </c>
      <c r="AM19" s="618">
        <v>16879730.257886127</v>
      </c>
      <c r="AN19" s="618">
        <v>17802769.396862779</v>
      </c>
      <c r="AO19" s="679" t="s">
        <v>455</v>
      </c>
      <c r="AP19" s="680">
        <v>3.8562379179713488</v>
      </c>
      <c r="AQ19" s="681">
        <v>3.8479999999999999</v>
      </c>
      <c r="AR19" s="682">
        <v>3.8879999999999999</v>
      </c>
      <c r="AS19" s="683">
        <v>0</v>
      </c>
      <c r="AT19" s="527">
        <v>0</v>
      </c>
      <c r="AU19" s="527">
        <v>0</v>
      </c>
      <c r="AV19" s="674">
        <f t="shared" si="7"/>
        <v>0</v>
      </c>
      <c r="AW19" s="684">
        <v>90.91</v>
      </c>
      <c r="AX19" s="572">
        <v>0</v>
      </c>
      <c r="AY19" s="681">
        <v>1</v>
      </c>
      <c r="AZ19" s="685">
        <v>0</v>
      </c>
      <c r="BA19" s="686" t="s">
        <v>477</v>
      </c>
      <c r="BB19" s="40" t="s">
        <v>383</v>
      </c>
      <c r="BC19" s="22" t="s">
        <v>383</v>
      </c>
      <c r="BD19" s="22" t="s">
        <v>383</v>
      </c>
      <c r="BE19" s="687" t="s">
        <v>383</v>
      </c>
      <c r="BF19" s="238" t="s">
        <v>383</v>
      </c>
      <c r="BG19" s="40" t="s">
        <v>383</v>
      </c>
      <c r="BH19" s="22" t="s">
        <v>383</v>
      </c>
      <c r="BI19" s="22" t="s">
        <v>383</v>
      </c>
      <c r="BJ19" s="296" t="s">
        <v>383</v>
      </c>
    </row>
    <row r="20" spans="1:62" ht="30" customHeight="1" x14ac:dyDescent="0.3">
      <c r="A20" s="346" t="str">
        <f t="shared" si="0"/>
        <v>Unitil</v>
      </c>
      <c r="B20" s="66" t="s">
        <v>383</v>
      </c>
      <c r="C20" s="66" t="s">
        <v>383</v>
      </c>
      <c r="D20" s="58" t="s">
        <v>395</v>
      </c>
      <c r="E20" s="58" t="s">
        <v>395</v>
      </c>
      <c r="F20" s="58" t="s">
        <v>398</v>
      </c>
      <c r="G20" s="58" t="s">
        <v>399</v>
      </c>
      <c r="H20" s="128" t="s">
        <v>453</v>
      </c>
      <c r="I20" s="128" t="s">
        <v>454</v>
      </c>
      <c r="J20" s="526">
        <v>7.6487363662241616</v>
      </c>
      <c r="K20" s="526">
        <v>41.115999726950761</v>
      </c>
      <c r="L20" s="670">
        <v>1496</v>
      </c>
      <c r="M20" s="671">
        <v>146</v>
      </c>
      <c r="N20" s="672">
        <f t="shared" si="15"/>
        <v>146</v>
      </c>
      <c r="O20" s="15">
        <v>0</v>
      </c>
      <c r="P20" s="672">
        <f t="shared" si="15"/>
        <v>0</v>
      </c>
      <c r="Q20" s="15">
        <v>0</v>
      </c>
      <c r="R20" s="672">
        <f t="shared" si="16"/>
        <v>0</v>
      </c>
      <c r="S20" s="15">
        <f t="shared" si="3"/>
        <v>146</v>
      </c>
      <c r="T20" s="672">
        <f t="shared" si="17"/>
        <v>146</v>
      </c>
      <c r="U20" s="673">
        <v>1401.7</v>
      </c>
      <c r="V20" s="674">
        <v>960.39</v>
      </c>
      <c r="W20" s="656">
        <v>0</v>
      </c>
      <c r="X20" s="657">
        <v>0</v>
      </c>
      <c r="Y20" s="15">
        <v>0</v>
      </c>
      <c r="Z20" s="10">
        <v>0</v>
      </c>
      <c r="AA20" s="675">
        <f t="shared" si="18"/>
        <v>1401.7</v>
      </c>
      <c r="AB20" s="676">
        <f t="shared" si="18"/>
        <v>960.39</v>
      </c>
      <c r="AC20" s="564">
        <v>0.19441093117408906</v>
      </c>
      <c r="AD20" s="677">
        <v>1564821.0504000001</v>
      </c>
      <c r="AE20" s="678">
        <v>1564821.0504000001</v>
      </c>
      <c r="AF20" s="677">
        <f t="shared" si="19"/>
        <v>0</v>
      </c>
      <c r="AG20" s="678">
        <f t="shared" si="19"/>
        <v>0</v>
      </c>
      <c r="AH20" s="15">
        <v>0</v>
      </c>
      <c r="AI20" s="10">
        <v>0</v>
      </c>
      <c r="AJ20" s="690">
        <f t="shared" si="20"/>
        <v>1564821.0504000001</v>
      </c>
      <c r="AK20" s="691">
        <f t="shared" si="20"/>
        <v>1564821.0504000001</v>
      </c>
      <c r="AL20" s="611">
        <v>20043593.996979848</v>
      </c>
      <c r="AM20" s="618">
        <v>21599737.991120394</v>
      </c>
      <c r="AN20" s="618">
        <v>22619773.873585936</v>
      </c>
      <c r="AO20" s="679" t="s">
        <v>455</v>
      </c>
      <c r="AP20" s="680">
        <v>4.6848510243122998</v>
      </c>
      <c r="AQ20" s="681">
        <v>4.9240000000000004</v>
      </c>
      <c r="AR20" s="682">
        <v>4.9400000000000004</v>
      </c>
      <c r="AS20" s="683">
        <v>2</v>
      </c>
      <c r="AT20" s="527">
        <v>1</v>
      </c>
      <c r="AU20" s="527">
        <v>0</v>
      </c>
      <c r="AV20" s="674">
        <f t="shared" si="7"/>
        <v>1</v>
      </c>
      <c r="AW20" s="684">
        <v>246.83330000000001</v>
      </c>
      <c r="AX20" s="572">
        <v>87.136669999999995</v>
      </c>
      <c r="AY20" s="681">
        <v>2.7276666999999999</v>
      </c>
      <c r="AZ20" s="685">
        <v>1.3173333</v>
      </c>
      <c r="BA20" s="686" t="s">
        <v>478</v>
      </c>
      <c r="BB20" s="40" t="s">
        <v>383</v>
      </c>
      <c r="BC20" s="22" t="s">
        <v>383</v>
      </c>
      <c r="BD20" s="22" t="s">
        <v>383</v>
      </c>
      <c r="BE20" s="687" t="s">
        <v>383</v>
      </c>
      <c r="BF20" s="238" t="s">
        <v>383</v>
      </c>
      <c r="BG20" s="40" t="s">
        <v>383</v>
      </c>
      <c r="BH20" s="22" t="s">
        <v>383</v>
      </c>
      <c r="BI20" s="22" t="s">
        <v>383</v>
      </c>
      <c r="BJ20" s="296" t="s">
        <v>383</v>
      </c>
    </row>
    <row r="21" spans="1:62" ht="30" customHeight="1" x14ac:dyDescent="0.3">
      <c r="A21" s="346" t="str">
        <f t="shared" si="0"/>
        <v>Unitil</v>
      </c>
      <c r="B21" s="66" t="s">
        <v>383</v>
      </c>
      <c r="C21" s="66" t="s">
        <v>383</v>
      </c>
      <c r="D21" s="58" t="s">
        <v>395</v>
      </c>
      <c r="E21" s="58" t="s">
        <v>395</v>
      </c>
      <c r="F21" s="58" t="s">
        <v>400</v>
      </c>
      <c r="G21" s="58" t="s">
        <v>395</v>
      </c>
      <c r="H21" s="128" t="s">
        <v>453</v>
      </c>
      <c r="I21" s="128" t="s">
        <v>454</v>
      </c>
      <c r="J21" s="526">
        <v>9.5609204577802025</v>
      </c>
      <c r="K21" s="526">
        <v>11.440870880801137</v>
      </c>
      <c r="L21" s="670">
        <v>552</v>
      </c>
      <c r="M21" s="671">
        <v>55</v>
      </c>
      <c r="N21" s="672">
        <f t="shared" si="15"/>
        <v>55</v>
      </c>
      <c r="O21" s="15">
        <v>0</v>
      </c>
      <c r="P21" s="672">
        <f t="shared" si="15"/>
        <v>0</v>
      </c>
      <c r="Q21" s="15">
        <v>0</v>
      </c>
      <c r="R21" s="672">
        <f t="shared" si="16"/>
        <v>0</v>
      </c>
      <c r="S21" s="15">
        <f t="shared" si="3"/>
        <v>55</v>
      </c>
      <c r="T21" s="672">
        <f t="shared" si="17"/>
        <v>55</v>
      </c>
      <c r="U21" s="673">
        <v>376.2</v>
      </c>
      <c r="V21" s="674">
        <v>314.02499999999998</v>
      </c>
      <c r="W21" s="656">
        <v>0</v>
      </c>
      <c r="X21" s="657">
        <v>0</v>
      </c>
      <c r="Y21" s="15">
        <v>0</v>
      </c>
      <c r="Z21" s="10">
        <v>0</v>
      </c>
      <c r="AA21" s="675">
        <f t="shared" si="18"/>
        <v>376.2</v>
      </c>
      <c r="AB21" s="676">
        <f t="shared" si="18"/>
        <v>314.02499999999998</v>
      </c>
      <c r="AC21" s="564">
        <v>0.20632391590013138</v>
      </c>
      <c r="AD21" s="677">
        <v>511659.77399999998</v>
      </c>
      <c r="AE21" s="678">
        <v>511659.77399999998</v>
      </c>
      <c r="AF21" s="677">
        <f t="shared" si="19"/>
        <v>0</v>
      </c>
      <c r="AG21" s="678">
        <f t="shared" si="19"/>
        <v>0</v>
      </c>
      <c r="AH21" s="15">
        <v>0</v>
      </c>
      <c r="AI21" s="10">
        <v>0</v>
      </c>
      <c r="AJ21" s="690">
        <f t="shared" si="20"/>
        <v>511659.77399999998</v>
      </c>
      <c r="AK21" s="691">
        <f t="shared" si="20"/>
        <v>511659.77399999998</v>
      </c>
      <c r="AL21" s="611">
        <v>6578934.7643148145</v>
      </c>
      <c r="AM21" s="618">
        <v>6185140.2452233462</v>
      </c>
      <c r="AN21" s="618">
        <v>6969088.2258295137</v>
      </c>
      <c r="AO21" s="679" t="s">
        <v>455</v>
      </c>
      <c r="AP21" s="680">
        <v>1.5377147069596495</v>
      </c>
      <c r="AQ21" s="681">
        <v>1.41</v>
      </c>
      <c r="AR21" s="682">
        <v>1.522</v>
      </c>
      <c r="AS21" s="683">
        <v>0</v>
      </c>
      <c r="AT21" s="527">
        <v>0</v>
      </c>
      <c r="AU21" s="527">
        <v>1</v>
      </c>
      <c r="AV21" s="674">
        <f t="shared" si="7"/>
        <v>0.33333333333333331</v>
      </c>
      <c r="AW21" s="684">
        <v>233.1867</v>
      </c>
      <c r="AX21" s="572">
        <v>52.286670000000001</v>
      </c>
      <c r="AY21" s="681">
        <v>2.0876667000000002</v>
      </c>
      <c r="AZ21" s="685">
        <v>0.69499999999999995</v>
      </c>
      <c r="BA21" s="686" t="s">
        <v>479</v>
      </c>
      <c r="BB21" s="40" t="s">
        <v>383</v>
      </c>
      <c r="BC21" s="22" t="s">
        <v>383</v>
      </c>
      <c r="BD21" s="22" t="s">
        <v>383</v>
      </c>
      <c r="BE21" s="687" t="s">
        <v>383</v>
      </c>
      <c r="BF21" s="238" t="s">
        <v>383</v>
      </c>
      <c r="BG21" s="40" t="s">
        <v>383</v>
      </c>
      <c r="BH21" s="22" t="s">
        <v>383</v>
      </c>
      <c r="BI21" s="22" t="s">
        <v>383</v>
      </c>
      <c r="BJ21" s="296" t="s">
        <v>383</v>
      </c>
    </row>
    <row r="22" spans="1:62" ht="30" customHeight="1" x14ac:dyDescent="0.3">
      <c r="A22" s="346" t="str">
        <f t="shared" si="0"/>
        <v>Unitil</v>
      </c>
      <c r="B22" s="66" t="s">
        <v>383</v>
      </c>
      <c r="C22" s="66" t="s">
        <v>383</v>
      </c>
      <c r="D22" s="58" t="s">
        <v>395</v>
      </c>
      <c r="E22" s="58" t="s">
        <v>395</v>
      </c>
      <c r="F22" s="496"/>
      <c r="G22" s="496"/>
      <c r="H22" s="496"/>
      <c r="I22" s="496"/>
      <c r="J22" s="692"/>
      <c r="K22" s="692"/>
      <c r="L22" s="693"/>
      <c r="M22" s="694"/>
      <c r="N22" s="497"/>
      <c r="O22" s="569"/>
      <c r="P22" s="497"/>
      <c r="Q22" s="569"/>
      <c r="R22" s="497"/>
      <c r="S22" s="569"/>
      <c r="T22" s="497"/>
      <c r="U22" s="695"/>
      <c r="V22" s="696"/>
      <c r="W22" s="697"/>
      <c r="X22" s="698"/>
      <c r="Y22" s="569"/>
      <c r="Z22" s="497"/>
      <c r="AA22" s="529"/>
      <c r="AB22" s="699"/>
      <c r="AC22" s="700"/>
      <c r="AD22" s="569"/>
      <c r="AE22" s="497"/>
      <c r="AF22" s="569"/>
      <c r="AG22" s="497"/>
      <c r="AH22" s="569"/>
      <c r="AI22" s="497"/>
      <c r="AJ22" s="569"/>
      <c r="AK22" s="497"/>
      <c r="AL22" s="701"/>
      <c r="AM22" s="702"/>
      <c r="AN22" s="702"/>
      <c r="AO22" s="497"/>
      <c r="AP22" s="703"/>
      <c r="AQ22" s="692"/>
      <c r="AR22" s="704"/>
      <c r="AS22" s="569"/>
      <c r="AT22" s="496"/>
      <c r="AU22" s="496"/>
      <c r="AV22" s="497"/>
      <c r="AW22" s="569"/>
      <c r="AX22" s="496"/>
      <c r="AY22" s="496"/>
      <c r="AZ22" s="497"/>
      <c r="BA22" s="705"/>
      <c r="BB22" s="569"/>
      <c r="BC22" s="496"/>
      <c r="BD22" s="496"/>
      <c r="BE22" s="497"/>
      <c r="BF22" s="705"/>
      <c r="BG22" s="569"/>
      <c r="BH22" s="496"/>
      <c r="BI22" s="496"/>
      <c r="BJ22" s="497"/>
    </row>
    <row r="23" spans="1:62" ht="30" customHeight="1" x14ac:dyDescent="0.3">
      <c r="A23" s="346" t="str">
        <f t="shared" si="0"/>
        <v>Unitil</v>
      </c>
      <c r="B23" s="66" t="s">
        <v>383</v>
      </c>
      <c r="C23" s="66" t="s">
        <v>383</v>
      </c>
      <c r="D23" s="58" t="s">
        <v>401</v>
      </c>
      <c r="E23" s="58" t="s">
        <v>385</v>
      </c>
      <c r="F23" s="58" t="s">
        <v>480</v>
      </c>
      <c r="G23" s="58" t="s">
        <v>385</v>
      </c>
      <c r="H23" s="128" t="s">
        <v>453</v>
      </c>
      <c r="I23" s="128" t="s">
        <v>457</v>
      </c>
      <c r="J23" s="526">
        <v>2.1615994078459591</v>
      </c>
      <c r="K23" s="526">
        <v>15.629499813636363</v>
      </c>
      <c r="L23" s="670">
        <v>900</v>
      </c>
      <c r="M23" s="671">
        <v>70</v>
      </c>
      <c r="N23" s="672">
        <f t="shared" ref="N23:P24" si="21">M23</f>
        <v>70</v>
      </c>
      <c r="O23" s="15">
        <v>1</v>
      </c>
      <c r="P23" s="672">
        <f t="shared" si="21"/>
        <v>1</v>
      </c>
      <c r="Q23" s="15">
        <v>0</v>
      </c>
      <c r="R23" s="672">
        <f t="shared" ref="R23:R24" si="22">Q23</f>
        <v>0</v>
      </c>
      <c r="S23" s="15">
        <f t="shared" si="3"/>
        <v>71</v>
      </c>
      <c r="T23" s="672">
        <f t="shared" ref="T23:T24" si="23">S23</f>
        <v>71</v>
      </c>
      <c r="U23" s="673">
        <v>448.9</v>
      </c>
      <c r="V23" s="674">
        <v>358.95</v>
      </c>
      <c r="W23" s="656">
        <v>8</v>
      </c>
      <c r="X23" s="657">
        <v>8</v>
      </c>
      <c r="Y23" s="15">
        <v>0</v>
      </c>
      <c r="Z23" s="10">
        <v>0</v>
      </c>
      <c r="AA23" s="675">
        <f>U23+W23+Y23</f>
        <v>456.9</v>
      </c>
      <c r="AB23" s="676">
        <f>V23+X23+Z23</f>
        <v>366.95</v>
      </c>
      <c r="AC23" s="564">
        <v>0.26313711414213925</v>
      </c>
      <c r="AD23" s="677">
        <v>584858.77199999988</v>
      </c>
      <c r="AE23" s="678">
        <v>584858.77199999988</v>
      </c>
      <c r="AF23" s="677">
        <v>66576</v>
      </c>
      <c r="AG23" s="678">
        <v>66576</v>
      </c>
      <c r="AH23" s="15">
        <v>0</v>
      </c>
      <c r="AI23" s="10">
        <v>0</v>
      </c>
      <c r="AJ23" s="690">
        <f t="shared" ref="AJ23:AK24" si="24">AD23+AF23+AH23</f>
        <v>651434.77199999988</v>
      </c>
      <c r="AK23" s="691">
        <f t="shared" si="24"/>
        <v>651434.77199999988</v>
      </c>
      <c r="AL23" s="611">
        <v>7768448.8534878418</v>
      </c>
      <c r="AM23" s="618">
        <v>7018598.8598279115</v>
      </c>
      <c r="AN23" s="618">
        <v>6378409.9202237269</v>
      </c>
      <c r="AO23" s="679" t="s">
        <v>455</v>
      </c>
      <c r="AP23" s="680">
        <v>1.8157435025906057</v>
      </c>
      <c r="AQ23" s="681">
        <v>1.6</v>
      </c>
      <c r="AR23" s="682">
        <v>1.393</v>
      </c>
      <c r="AS23" s="683">
        <v>0</v>
      </c>
      <c r="AT23" s="527">
        <v>0</v>
      </c>
      <c r="AU23" s="527">
        <v>0</v>
      </c>
      <c r="AV23" s="674">
        <f t="shared" si="7"/>
        <v>0</v>
      </c>
      <c r="AW23" s="684">
        <v>164.98</v>
      </c>
      <c r="AX23" s="572">
        <v>103.4033</v>
      </c>
      <c r="AY23" s="681">
        <v>3.1766667000000002</v>
      </c>
      <c r="AZ23" s="685">
        <v>2.7696667000000001</v>
      </c>
      <c r="BA23" s="709" t="s">
        <v>481</v>
      </c>
      <c r="BB23" s="40" t="s">
        <v>383</v>
      </c>
      <c r="BC23" s="22" t="s">
        <v>383</v>
      </c>
      <c r="BD23" s="22" t="s">
        <v>383</v>
      </c>
      <c r="BE23" s="687" t="s">
        <v>383</v>
      </c>
      <c r="BF23" s="238" t="s">
        <v>383</v>
      </c>
      <c r="BG23" s="40" t="s">
        <v>383</v>
      </c>
      <c r="BH23" s="22" t="s">
        <v>383</v>
      </c>
      <c r="BI23" s="22" t="s">
        <v>383</v>
      </c>
      <c r="BJ23" s="296" t="s">
        <v>383</v>
      </c>
    </row>
    <row r="24" spans="1:62" ht="30" customHeight="1" x14ac:dyDescent="0.3">
      <c r="A24" s="346" t="str">
        <f t="shared" si="0"/>
        <v>Unitil</v>
      </c>
      <c r="B24" s="66" t="s">
        <v>383</v>
      </c>
      <c r="C24" s="66" t="s">
        <v>383</v>
      </c>
      <c r="D24" s="58" t="s">
        <v>401</v>
      </c>
      <c r="E24" s="58" t="s">
        <v>385</v>
      </c>
      <c r="F24" s="58" t="s">
        <v>482</v>
      </c>
      <c r="G24" s="58" t="s">
        <v>385</v>
      </c>
      <c r="H24" s="128" t="s">
        <v>453</v>
      </c>
      <c r="I24" s="128" t="s">
        <v>457</v>
      </c>
      <c r="J24" s="526">
        <v>2.1615994078459591</v>
      </c>
      <c r="K24" s="526">
        <v>2.0171044974431815</v>
      </c>
      <c r="L24" s="670">
        <v>240</v>
      </c>
      <c r="M24" s="671">
        <v>3</v>
      </c>
      <c r="N24" s="672">
        <f t="shared" si="21"/>
        <v>3</v>
      </c>
      <c r="O24" s="15">
        <v>0</v>
      </c>
      <c r="P24" s="672">
        <f t="shared" si="21"/>
        <v>0</v>
      </c>
      <c r="Q24" s="15">
        <v>0</v>
      </c>
      <c r="R24" s="672">
        <f t="shared" si="22"/>
        <v>0</v>
      </c>
      <c r="S24" s="15">
        <f t="shared" si="3"/>
        <v>3</v>
      </c>
      <c r="T24" s="672">
        <f t="shared" si="23"/>
        <v>3</v>
      </c>
      <c r="U24" s="673">
        <v>25.8</v>
      </c>
      <c r="V24" s="674">
        <v>372.42</v>
      </c>
      <c r="W24" s="656">
        <v>0</v>
      </c>
      <c r="X24" s="657">
        <v>0</v>
      </c>
      <c r="Y24" s="15">
        <v>0</v>
      </c>
      <c r="Z24" s="10">
        <v>0</v>
      </c>
      <c r="AA24" s="675">
        <f>U24+W24+Y24</f>
        <v>25.8</v>
      </c>
      <c r="AB24" s="676">
        <f>V24+X24+Z24</f>
        <v>372.42</v>
      </c>
      <c r="AC24" s="564">
        <v>1.0065405405405405</v>
      </c>
      <c r="AD24" s="677">
        <v>606806.25120000006</v>
      </c>
      <c r="AE24" s="678">
        <v>606806.25120000006</v>
      </c>
      <c r="AF24" s="677">
        <f t="shared" ref="AF24:AG24" si="25">2080*W24</f>
        <v>0</v>
      </c>
      <c r="AG24" s="678">
        <f t="shared" si="25"/>
        <v>0</v>
      </c>
      <c r="AH24" s="15">
        <v>0</v>
      </c>
      <c r="AI24" s="10">
        <v>0</v>
      </c>
      <c r="AJ24" s="690">
        <f t="shared" si="24"/>
        <v>606806.25120000006</v>
      </c>
      <c r="AK24" s="691">
        <f t="shared" si="24"/>
        <v>606806.25120000006</v>
      </c>
      <c r="AL24" s="611">
        <v>5651649.2981723715</v>
      </c>
      <c r="AM24" s="618">
        <v>1886248.4435787511</v>
      </c>
      <c r="AN24" s="618">
        <v>1694193.5897220236</v>
      </c>
      <c r="AO24" s="679" t="s">
        <v>455</v>
      </c>
      <c r="AP24" s="680">
        <v>1.3209774159058638</v>
      </c>
      <c r="AQ24" s="681">
        <v>0.43</v>
      </c>
      <c r="AR24" s="682">
        <v>0.37</v>
      </c>
      <c r="AS24" s="683">
        <v>0</v>
      </c>
      <c r="AT24" s="527">
        <v>0</v>
      </c>
      <c r="AU24" s="527">
        <v>0</v>
      </c>
      <c r="AV24" s="674">
        <f t="shared" si="7"/>
        <v>0</v>
      </c>
      <c r="AW24" s="684">
        <v>145.58000000000001</v>
      </c>
      <c r="AX24" s="572">
        <v>84.92</v>
      </c>
      <c r="AY24" s="681">
        <v>2.9466667000000002</v>
      </c>
      <c r="AZ24" s="685">
        <v>2.6076666999999998</v>
      </c>
      <c r="BA24" s="686" t="s">
        <v>483</v>
      </c>
      <c r="BB24" s="40" t="s">
        <v>383</v>
      </c>
      <c r="BC24" s="22" t="s">
        <v>383</v>
      </c>
      <c r="BD24" s="22" t="s">
        <v>383</v>
      </c>
      <c r="BE24" s="687" t="s">
        <v>383</v>
      </c>
      <c r="BF24" s="238" t="s">
        <v>383</v>
      </c>
      <c r="BG24" s="40" t="s">
        <v>383</v>
      </c>
      <c r="BH24" s="22" t="s">
        <v>383</v>
      </c>
      <c r="BI24" s="22" t="s">
        <v>383</v>
      </c>
      <c r="BJ24" s="296" t="s">
        <v>383</v>
      </c>
    </row>
    <row r="25" spans="1:62" ht="30" customHeight="1" x14ac:dyDescent="0.3">
      <c r="A25" s="346" t="str">
        <f t="shared" si="0"/>
        <v>Unitil</v>
      </c>
      <c r="B25" s="66" t="s">
        <v>383</v>
      </c>
      <c r="C25" s="66" t="s">
        <v>383</v>
      </c>
      <c r="D25" s="58" t="s">
        <v>401</v>
      </c>
      <c r="E25" s="58" t="s">
        <v>385</v>
      </c>
      <c r="F25" s="496"/>
      <c r="G25" s="496"/>
      <c r="H25" s="496"/>
      <c r="I25" s="496"/>
      <c r="J25" s="692"/>
      <c r="K25" s="692"/>
      <c r="L25" s="693"/>
      <c r="M25" s="694"/>
      <c r="N25" s="497"/>
      <c r="O25" s="569"/>
      <c r="P25" s="497"/>
      <c r="Q25" s="569"/>
      <c r="R25" s="497"/>
      <c r="S25" s="569"/>
      <c r="T25" s="497"/>
      <c r="U25" s="695"/>
      <c r="V25" s="696"/>
      <c r="W25" s="697"/>
      <c r="X25" s="698"/>
      <c r="Y25" s="569"/>
      <c r="Z25" s="497"/>
      <c r="AA25" s="529"/>
      <c r="AB25" s="699"/>
      <c r="AC25" s="700"/>
      <c r="AD25" s="569"/>
      <c r="AE25" s="497"/>
      <c r="AF25" s="569"/>
      <c r="AG25" s="497"/>
      <c r="AH25" s="569"/>
      <c r="AI25" s="497"/>
      <c r="AJ25" s="569"/>
      <c r="AK25" s="497"/>
      <c r="AL25" s="701"/>
      <c r="AM25" s="702"/>
      <c r="AN25" s="702"/>
      <c r="AO25" s="497"/>
      <c r="AP25" s="703"/>
      <c r="AQ25" s="692"/>
      <c r="AR25" s="704"/>
      <c r="AS25" s="569"/>
      <c r="AT25" s="496"/>
      <c r="AU25" s="496"/>
      <c r="AV25" s="497"/>
      <c r="AW25" s="569"/>
      <c r="AX25" s="496"/>
      <c r="AY25" s="496"/>
      <c r="AZ25" s="497"/>
      <c r="BA25" s="705"/>
      <c r="BB25" s="569"/>
      <c r="BC25" s="496"/>
      <c r="BD25" s="496"/>
      <c r="BE25" s="497"/>
      <c r="BF25" s="705"/>
      <c r="BG25" s="569"/>
      <c r="BH25" s="496"/>
      <c r="BI25" s="496"/>
      <c r="BJ25" s="497"/>
    </row>
    <row r="26" spans="1:62" ht="30" customHeight="1" x14ac:dyDescent="0.3">
      <c r="A26" s="346" t="str">
        <f t="shared" si="0"/>
        <v>Unitil</v>
      </c>
      <c r="B26" s="66" t="s">
        <v>383</v>
      </c>
      <c r="C26" s="66" t="s">
        <v>383</v>
      </c>
      <c r="D26" s="58" t="s">
        <v>403</v>
      </c>
      <c r="E26" s="58" t="s">
        <v>385</v>
      </c>
      <c r="F26" s="58">
        <v>1341</v>
      </c>
      <c r="G26" s="58" t="s">
        <v>385</v>
      </c>
      <c r="H26" s="128" t="s">
        <v>453</v>
      </c>
      <c r="I26" s="128" t="s">
        <v>454</v>
      </c>
      <c r="J26" s="526">
        <v>5.9038683826792759</v>
      </c>
      <c r="K26" s="526">
        <v>2.7</v>
      </c>
      <c r="L26" s="670" t="s">
        <v>383</v>
      </c>
      <c r="M26" s="18">
        <v>0</v>
      </c>
      <c r="N26" s="10">
        <f>M26</f>
        <v>0</v>
      </c>
      <c r="O26" s="15"/>
      <c r="P26" s="10">
        <f>O26</f>
        <v>0</v>
      </c>
      <c r="Q26" s="15">
        <v>0</v>
      </c>
      <c r="R26" s="10">
        <f>Q26</f>
        <v>0</v>
      </c>
      <c r="S26" s="15">
        <f t="shared" si="3"/>
        <v>0</v>
      </c>
      <c r="T26" s="10">
        <f>S26</f>
        <v>0</v>
      </c>
      <c r="U26" s="688">
        <v>0</v>
      </c>
      <c r="V26" s="689">
        <v>0</v>
      </c>
      <c r="W26" s="656">
        <v>0</v>
      </c>
      <c r="X26" s="657">
        <v>0</v>
      </c>
      <c r="Y26" s="15">
        <v>0</v>
      </c>
      <c r="Z26" s="10">
        <v>0</v>
      </c>
      <c r="AA26" s="675">
        <f>U26+W26+Y26</f>
        <v>0</v>
      </c>
      <c r="AB26" s="676">
        <f>V26+X26+Z26</f>
        <v>0</v>
      </c>
      <c r="AC26" s="564"/>
      <c r="AD26" s="677">
        <f>1302*(U26)</f>
        <v>0</v>
      </c>
      <c r="AE26" s="678">
        <f>1302*V26</f>
        <v>0</v>
      </c>
      <c r="AF26" s="677">
        <f>2080*W26</f>
        <v>0</v>
      </c>
      <c r="AG26" s="678">
        <f>2080*X26</f>
        <v>0</v>
      </c>
      <c r="AH26" s="15">
        <v>0</v>
      </c>
      <c r="AI26" s="10">
        <v>0</v>
      </c>
      <c r="AJ26" s="690">
        <f>AD26+AF26+AH26</f>
        <v>0</v>
      </c>
      <c r="AK26" s="691">
        <f>AE26+AG26+AI26</f>
        <v>0</v>
      </c>
      <c r="AL26" s="611">
        <v>2079352.4384621966</v>
      </c>
      <c r="AM26" s="618">
        <v>1013310.2103876546</v>
      </c>
      <c r="AN26" s="618">
        <v>0</v>
      </c>
      <c r="AO26" s="679" t="s">
        <v>455</v>
      </c>
      <c r="AP26" s="680">
        <v>3.5056708345194081</v>
      </c>
      <c r="AQ26" s="681">
        <v>2.7890000000000001</v>
      </c>
      <c r="AR26" s="682">
        <v>2.605</v>
      </c>
      <c r="AS26" s="683">
        <v>0</v>
      </c>
      <c r="AT26" s="527">
        <v>0</v>
      </c>
      <c r="AU26" s="527">
        <v>0</v>
      </c>
      <c r="AV26" s="674">
        <f t="shared" si="7"/>
        <v>0</v>
      </c>
      <c r="AW26" s="684" t="s">
        <v>383</v>
      </c>
      <c r="AX26" s="572" t="s">
        <v>383</v>
      </c>
      <c r="AY26" s="681" t="s">
        <v>383</v>
      </c>
      <c r="AZ26" s="685" t="s">
        <v>383</v>
      </c>
      <c r="BA26" s="686" t="s">
        <v>484</v>
      </c>
      <c r="BB26" s="40" t="s">
        <v>383</v>
      </c>
      <c r="BC26" s="22" t="s">
        <v>383</v>
      </c>
      <c r="BD26" s="22" t="s">
        <v>383</v>
      </c>
      <c r="BE26" s="687" t="s">
        <v>383</v>
      </c>
      <c r="BF26" s="238" t="s">
        <v>383</v>
      </c>
      <c r="BG26" s="40" t="s">
        <v>383</v>
      </c>
      <c r="BH26" s="22" t="s">
        <v>383</v>
      </c>
      <c r="BI26" s="22" t="s">
        <v>383</v>
      </c>
      <c r="BJ26" s="296" t="s">
        <v>383</v>
      </c>
    </row>
    <row r="27" spans="1:62" ht="30" customHeight="1" x14ac:dyDescent="0.3">
      <c r="A27" s="346" t="str">
        <f t="shared" si="0"/>
        <v>Unitil</v>
      </c>
      <c r="B27" s="66" t="s">
        <v>383</v>
      </c>
      <c r="C27" s="66" t="s">
        <v>383</v>
      </c>
      <c r="D27" s="58" t="s">
        <v>403</v>
      </c>
      <c r="E27" s="58" t="s">
        <v>385</v>
      </c>
      <c r="F27" s="496"/>
      <c r="G27" s="496"/>
      <c r="H27" s="496"/>
      <c r="I27" s="496"/>
      <c r="J27" s="692"/>
      <c r="K27" s="692"/>
      <c r="L27" s="693"/>
      <c r="M27" s="694"/>
      <c r="N27" s="497"/>
      <c r="O27" s="569"/>
      <c r="P27" s="497"/>
      <c r="Q27" s="569"/>
      <c r="R27" s="497"/>
      <c r="S27" s="569"/>
      <c r="T27" s="497"/>
      <c r="U27" s="695"/>
      <c r="V27" s="696"/>
      <c r="W27" s="697"/>
      <c r="X27" s="698"/>
      <c r="Y27" s="569"/>
      <c r="Z27" s="497"/>
      <c r="AA27" s="529"/>
      <c r="AB27" s="699"/>
      <c r="AC27" s="700"/>
      <c r="AD27" s="569"/>
      <c r="AE27" s="497"/>
      <c r="AF27" s="569"/>
      <c r="AG27" s="497"/>
      <c r="AH27" s="569"/>
      <c r="AI27" s="497"/>
      <c r="AJ27" s="569"/>
      <c r="AK27" s="497"/>
      <c r="AL27" s="701"/>
      <c r="AM27" s="702"/>
      <c r="AN27" s="702"/>
      <c r="AO27" s="497"/>
      <c r="AP27" s="703"/>
      <c r="AQ27" s="692"/>
      <c r="AR27" s="704"/>
      <c r="AS27" s="569"/>
      <c r="AT27" s="496"/>
      <c r="AU27" s="496"/>
      <c r="AV27" s="497"/>
      <c r="AW27" s="569"/>
      <c r="AX27" s="496"/>
      <c r="AY27" s="496"/>
      <c r="AZ27" s="497"/>
      <c r="BA27" s="705"/>
      <c r="BB27" s="569"/>
      <c r="BC27" s="496"/>
      <c r="BD27" s="496"/>
      <c r="BE27" s="497"/>
      <c r="BF27" s="705"/>
      <c r="BG27" s="569"/>
      <c r="BH27" s="496"/>
      <c r="BI27" s="496"/>
      <c r="BJ27" s="497"/>
    </row>
    <row r="28" spans="1:62" ht="30" customHeight="1" x14ac:dyDescent="0.3">
      <c r="A28" s="346" t="str">
        <f t="shared" si="0"/>
        <v>Unitil</v>
      </c>
      <c r="B28" s="66" t="s">
        <v>383</v>
      </c>
      <c r="C28" s="66" t="s">
        <v>383</v>
      </c>
      <c r="D28" s="58" t="s">
        <v>404</v>
      </c>
      <c r="E28" s="58" t="s">
        <v>385</v>
      </c>
      <c r="F28" s="58" t="s">
        <v>405</v>
      </c>
      <c r="G28" s="58" t="s">
        <v>385</v>
      </c>
      <c r="H28" s="128" t="s">
        <v>458</v>
      </c>
      <c r="I28" s="128" t="s">
        <v>454</v>
      </c>
      <c r="J28" s="526">
        <v>9.3218974463356972</v>
      </c>
      <c r="K28" s="526">
        <v>11.772675231969696</v>
      </c>
      <c r="L28" s="670">
        <v>2054</v>
      </c>
      <c r="M28" s="671">
        <v>30</v>
      </c>
      <c r="N28" s="672">
        <f t="shared" ref="N28:P36" si="26">M28</f>
        <v>30</v>
      </c>
      <c r="O28" s="15">
        <v>2</v>
      </c>
      <c r="P28" s="672">
        <f t="shared" si="26"/>
        <v>2</v>
      </c>
      <c r="Q28" s="15">
        <v>0</v>
      </c>
      <c r="R28" s="672">
        <f t="shared" ref="R28:R33" si="27">Q28</f>
        <v>0</v>
      </c>
      <c r="S28" s="15">
        <f t="shared" si="3"/>
        <v>32</v>
      </c>
      <c r="T28" s="672">
        <f t="shared" ref="T28:T33" si="28">S28</f>
        <v>32</v>
      </c>
      <c r="U28" s="673">
        <v>345.4</v>
      </c>
      <c r="V28" s="674">
        <v>311.22000000000003</v>
      </c>
      <c r="W28" s="710">
        <v>61.2</v>
      </c>
      <c r="X28" s="711">
        <v>61.2</v>
      </c>
      <c r="Y28" s="15">
        <v>0</v>
      </c>
      <c r="Z28" s="10">
        <v>0</v>
      </c>
      <c r="AA28" s="675">
        <f t="shared" ref="AA28:AB35" si="29">U28+W28+Y28</f>
        <v>406.59999999999997</v>
      </c>
      <c r="AB28" s="676">
        <f t="shared" si="29"/>
        <v>372.42</v>
      </c>
      <c r="AC28" s="564">
        <v>8.12966601178782E-2</v>
      </c>
      <c r="AD28" s="677">
        <v>507089.4192</v>
      </c>
      <c r="AE28" s="678">
        <v>536112</v>
      </c>
      <c r="AF28" s="677">
        <v>536112</v>
      </c>
      <c r="AG28" s="678">
        <v>536112</v>
      </c>
      <c r="AH28" s="15">
        <v>0</v>
      </c>
      <c r="AI28" s="10">
        <v>0</v>
      </c>
      <c r="AJ28" s="690">
        <f t="shared" ref="AJ28:AK36" si="30">AD28+AF28+AH28</f>
        <v>1043201.4192</v>
      </c>
      <c r="AK28" s="691">
        <f t="shared" si="30"/>
        <v>1072224</v>
      </c>
      <c r="AL28" s="611">
        <v>20588997.915265016</v>
      </c>
      <c r="AM28" s="618">
        <v>21003157.088035025</v>
      </c>
      <c r="AN28" s="618">
        <v>20975948.20139619</v>
      </c>
      <c r="AO28" s="679" t="s">
        <v>455</v>
      </c>
      <c r="AP28" s="680">
        <v>4.8123299637493693</v>
      </c>
      <c r="AQ28" s="681">
        <v>4.7880000000000003</v>
      </c>
      <c r="AR28" s="682">
        <v>4.5810000000000004</v>
      </c>
      <c r="AS28" s="683">
        <v>2</v>
      </c>
      <c r="AT28" s="527">
        <v>2</v>
      </c>
      <c r="AU28" s="527">
        <v>1</v>
      </c>
      <c r="AV28" s="674">
        <f t="shared" si="7"/>
        <v>1.6666666666666667</v>
      </c>
      <c r="AW28" s="684">
        <v>129.85669999999999</v>
      </c>
      <c r="AX28" s="572">
        <v>55.716670000000001</v>
      </c>
      <c r="AY28" s="681">
        <v>1.6043333</v>
      </c>
      <c r="AZ28" s="685">
        <v>0.92133330000000002</v>
      </c>
      <c r="BA28" s="686" t="s">
        <v>485</v>
      </c>
      <c r="BB28" s="40" t="s">
        <v>383</v>
      </c>
      <c r="BC28" s="22" t="s">
        <v>383</v>
      </c>
      <c r="BD28" s="22" t="s">
        <v>383</v>
      </c>
      <c r="BE28" s="687" t="s">
        <v>383</v>
      </c>
      <c r="BF28" s="238" t="s">
        <v>383</v>
      </c>
      <c r="BG28" s="40" t="s">
        <v>383</v>
      </c>
      <c r="BH28" s="22" t="s">
        <v>383</v>
      </c>
      <c r="BI28" s="22" t="s">
        <v>383</v>
      </c>
      <c r="BJ28" s="296" t="s">
        <v>383</v>
      </c>
    </row>
    <row r="29" spans="1:62" ht="30" customHeight="1" x14ac:dyDescent="0.3">
      <c r="A29" s="346" t="str">
        <f t="shared" si="0"/>
        <v>Unitil</v>
      </c>
      <c r="B29" s="66" t="s">
        <v>383</v>
      </c>
      <c r="C29" s="66" t="s">
        <v>383</v>
      </c>
      <c r="D29" s="58" t="s">
        <v>404</v>
      </c>
      <c r="E29" s="58" t="s">
        <v>385</v>
      </c>
      <c r="F29" s="58" t="s">
        <v>406</v>
      </c>
      <c r="G29" s="58" t="s">
        <v>385</v>
      </c>
      <c r="H29" s="128" t="s">
        <v>458</v>
      </c>
      <c r="I29" s="128" t="s">
        <v>454</v>
      </c>
      <c r="J29" s="526">
        <v>3.5853451716675759</v>
      </c>
      <c r="K29" s="526">
        <v>1.1876376673446969</v>
      </c>
      <c r="L29" s="670" t="s">
        <v>413</v>
      </c>
      <c r="M29" s="18">
        <v>0</v>
      </c>
      <c r="N29" s="10">
        <f t="shared" si="26"/>
        <v>0</v>
      </c>
      <c r="O29" s="15">
        <v>0</v>
      </c>
      <c r="P29" s="10">
        <f t="shared" si="26"/>
        <v>0</v>
      </c>
      <c r="Q29" s="15">
        <v>0</v>
      </c>
      <c r="R29" s="10">
        <f t="shared" si="27"/>
        <v>0</v>
      </c>
      <c r="S29" s="15">
        <f t="shared" si="3"/>
        <v>0</v>
      </c>
      <c r="T29" s="10">
        <f t="shared" si="28"/>
        <v>0</v>
      </c>
      <c r="U29" s="688">
        <f t="shared" si="3"/>
        <v>0</v>
      </c>
      <c r="V29" s="689">
        <f t="shared" si="3"/>
        <v>0</v>
      </c>
      <c r="W29" s="656">
        <v>0</v>
      </c>
      <c r="X29" s="657">
        <v>0</v>
      </c>
      <c r="Y29" s="15">
        <v>0</v>
      </c>
      <c r="Z29" s="10">
        <v>0</v>
      </c>
      <c r="AA29" s="675">
        <f t="shared" si="29"/>
        <v>0</v>
      </c>
      <c r="AB29" s="676">
        <f t="shared" si="29"/>
        <v>0</v>
      </c>
      <c r="AC29" s="564"/>
      <c r="AD29" s="677">
        <f t="shared" ref="AD29:AD30" si="31">1302*(U29)</f>
        <v>0</v>
      </c>
      <c r="AE29" s="678">
        <f t="shared" ref="AE29:AE36" si="32">1302*V29</f>
        <v>0</v>
      </c>
      <c r="AF29" s="677">
        <f t="shared" ref="AF29:AG36" si="33">2080*W29</f>
        <v>0</v>
      </c>
      <c r="AG29" s="678">
        <f t="shared" si="33"/>
        <v>0</v>
      </c>
      <c r="AH29" s="15">
        <v>0</v>
      </c>
      <c r="AI29" s="10">
        <v>0</v>
      </c>
      <c r="AJ29" s="690">
        <f t="shared" si="30"/>
        <v>0</v>
      </c>
      <c r="AK29" s="691">
        <f t="shared" si="30"/>
        <v>0</v>
      </c>
      <c r="AL29" s="611">
        <v>0</v>
      </c>
      <c r="AM29" s="618">
        <v>0</v>
      </c>
      <c r="AN29" s="618">
        <v>0</v>
      </c>
      <c r="AO29" s="679" t="s">
        <v>455</v>
      </c>
      <c r="AP29" s="680">
        <v>0.77284107033723315</v>
      </c>
      <c r="AQ29" s="681">
        <v>0.749</v>
      </c>
      <c r="AR29" s="682">
        <v>0.629</v>
      </c>
      <c r="AS29" s="683">
        <v>0</v>
      </c>
      <c r="AT29" s="527">
        <v>0</v>
      </c>
      <c r="AU29" s="527">
        <v>0</v>
      </c>
      <c r="AV29" s="674">
        <f t="shared" si="7"/>
        <v>0</v>
      </c>
      <c r="AW29" s="712" t="s">
        <v>383</v>
      </c>
      <c r="AX29" s="713" t="s">
        <v>383</v>
      </c>
      <c r="AY29" s="714" t="s">
        <v>383</v>
      </c>
      <c r="AZ29" s="715" t="s">
        <v>383</v>
      </c>
      <c r="BA29" s="686" t="s">
        <v>486</v>
      </c>
      <c r="BB29" s="40" t="s">
        <v>383</v>
      </c>
      <c r="BC29" s="22" t="s">
        <v>383</v>
      </c>
      <c r="BD29" s="22" t="s">
        <v>383</v>
      </c>
      <c r="BE29" s="687" t="s">
        <v>383</v>
      </c>
      <c r="BF29" s="238" t="s">
        <v>383</v>
      </c>
      <c r="BG29" s="40" t="s">
        <v>383</v>
      </c>
      <c r="BH29" s="22" t="s">
        <v>383</v>
      </c>
      <c r="BI29" s="22" t="s">
        <v>383</v>
      </c>
      <c r="BJ29" s="296" t="s">
        <v>383</v>
      </c>
    </row>
    <row r="30" spans="1:62" ht="30" customHeight="1" x14ac:dyDescent="0.3">
      <c r="A30" s="346" t="str">
        <f t="shared" si="0"/>
        <v>Unitil</v>
      </c>
      <c r="B30" s="66" t="s">
        <v>383</v>
      </c>
      <c r="C30" s="66" t="s">
        <v>383</v>
      </c>
      <c r="D30" s="58" t="s">
        <v>404</v>
      </c>
      <c r="E30" s="58" t="s">
        <v>385</v>
      </c>
      <c r="F30" s="58" t="s">
        <v>407</v>
      </c>
      <c r="G30" s="58" t="s">
        <v>385</v>
      </c>
      <c r="H30" s="128" t="s">
        <v>458</v>
      </c>
      <c r="I30" s="128" t="s">
        <v>454</v>
      </c>
      <c r="J30" s="526">
        <v>3.7048566773898282</v>
      </c>
      <c r="K30" s="526">
        <v>0.80365999083143946</v>
      </c>
      <c r="L30" s="670">
        <v>14</v>
      </c>
      <c r="M30" s="18">
        <v>0</v>
      </c>
      <c r="N30" s="10">
        <f t="shared" si="26"/>
        <v>0</v>
      </c>
      <c r="O30" s="15">
        <v>0</v>
      </c>
      <c r="P30" s="10">
        <f t="shared" si="26"/>
        <v>0</v>
      </c>
      <c r="Q30" s="15">
        <v>0</v>
      </c>
      <c r="R30" s="10">
        <f t="shared" si="27"/>
        <v>0</v>
      </c>
      <c r="S30" s="15">
        <f t="shared" si="3"/>
        <v>0</v>
      </c>
      <c r="T30" s="10">
        <f t="shared" si="28"/>
        <v>0</v>
      </c>
      <c r="U30" s="688">
        <f t="shared" si="3"/>
        <v>0</v>
      </c>
      <c r="V30" s="689">
        <f t="shared" si="3"/>
        <v>0</v>
      </c>
      <c r="W30" s="656">
        <v>0</v>
      </c>
      <c r="X30" s="657">
        <v>0</v>
      </c>
      <c r="Y30" s="15">
        <v>0</v>
      </c>
      <c r="Z30" s="10">
        <v>0</v>
      </c>
      <c r="AA30" s="675">
        <f t="shared" si="29"/>
        <v>0</v>
      </c>
      <c r="AB30" s="676">
        <f t="shared" si="29"/>
        <v>0</v>
      </c>
      <c r="AC30" s="564"/>
      <c r="AD30" s="677">
        <f t="shared" si="31"/>
        <v>0</v>
      </c>
      <c r="AE30" s="678">
        <f t="shared" si="32"/>
        <v>0</v>
      </c>
      <c r="AF30" s="677">
        <f t="shared" si="33"/>
        <v>0</v>
      </c>
      <c r="AG30" s="678">
        <f t="shared" si="33"/>
        <v>0</v>
      </c>
      <c r="AH30" s="15">
        <v>0</v>
      </c>
      <c r="AI30" s="10">
        <v>0</v>
      </c>
      <c r="AJ30" s="690">
        <f t="shared" si="30"/>
        <v>0</v>
      </c>
      <c r="AK30" s="691">
        <f t="shared" si="30"/>
        <v>0</v>
      </c>
      <c r="AL30" s="611">
        <v>3170160.2750325273</v>
      </c>
      <c r="AM30" s="618">
        <v>2969744.6425646846</v>
      </c>
      <c r="AN30" s="618">
        <v>3173178.8045334117</v>
      </c>
      <c r="AO30" s="679" t="s">
        <v>455</v>
      </c>
      <c r="AP30" s="680">
        <v>0.74097133547796579</v>
      </c>
      <c r="AQ30" s="681">
        <v>0.67700000000000005</v>
      </c>
      <c r="AR30" s="682">
        <v>0.69299999999999995</v>
      </c>
      <c r="AS30" s="683">
        <v>0</v>
      </c>
      <c r="AT30" s="527">
        <v>0</v>
      </c>
      <c r="AU30" s="527">
        <v>0</v>
      </c>
      <c r="AV30" s="674">
        <f t="shared" si="7"/>
        <v>0</v>
      </c>
      <c r="AW30" s="712">
        <v>17.8</v>
      </c>
      <c r="AX30" s="713">
        <v>17.8</v>
      </c>
      <c r="AY30" s="714">
        <v>0.3333333</v>
      </c>
      <c r="AZ30" s="715">
        <v>0.3333333</v>
      </c>
      <c r="BA30" s="686" t="s">
        <v>487</v>
      </c>
      <c r="BB30" s="40" t="s">
        <v>383</v>
      </c>
      <c r="BC30" s="22" t="s">
        <v>383</v>
      </c>
      <c r="BD30" s="22" t="s">
        <v>383</v>
      </c>
      <c r="BE30" s="687" t="s">
        <v>383</v>
      </c>
      <c r="BF30" s="238" t="s">
        <v>383</v>
      </c>
      <c r="BG30" s="40" t="s">
        <v>383</v>
      </c>
      <c r="BH30" s="22" t="s">
        <v>383</v>
      </c>
      <c r="BI30" s="22" t="s">
        <v>383</v>
      </c>
      <c r="BJ30" s="296" t="s">
        <v>383</v>
      </c>
    </row>
    <row r="31" spans="1:62" ht="30" customHeight="1" x14ac:dyDescent="0.3">
      <c r="A31" s="346" t="str">
        <f t="shared" si="0"/>
        <v>Unitil</v>
      </c>
      <c r="B31" s="66" t="s">
        <v>383</v>
      </c>
      <c r="C31" s="66" t="s">
        <v>383</v>
      </c>
      <c r="D31" s="58" t="s">
        <v>404</v>
      </c>
      <c r="E31" s="58" t="s">
        <v>385</v>
      </c>
      <c r="F31" s="58" t="s">
        <v>408</v>
      </c>
      <c r="G31" s="58" t="s">
        <v>385</v>
      </c>
      <c r="H31" s="128" t="s">
        <v>458</v>
      </c>
      <c r="I31" s="128" t="s">
        <v>454</v>
      </c>
      <c r="J31" s="526">
        <v>8.533121508568831</v>
      </c>
      <c r="K31" s="526">
        <v>1.4223890005132578</v>
      </c>
      <c r="L31" s="670" t="s">
        <v>413</v>
      </c>
      <c r="M31" s="18">
        <v>0</v>
      </c>
      <c r="N31" s="10">
        <f t="shared" si="26"/>
        <v>0</v>
      </c>
      <c r="O31" s="15">
        <v>0</v>
      </c>
      <c r="P31" s="10">
        <f t="shared" si="26"/>
        <v>0</v>
      </c>
      <c r="Q31" s="15">
        <v>0</v>
      </c>
      <c r="R31" s="10">
        <f t="shared" si="27"/>
        <v>0</v>
      </c>
      <c r="S31" s="15">
        <f t="shared" si="3"/>
        <v>0</v>
      </c>
      <c r="T31" s="10">
        <f t="shared" si="28"/>
        <v>0</v>
      </c>
      <c r="U31" s="688">
        <f t="shared" si="3"/>
        <v>0</v>
      </c>
      <c r="V31" s="689">
        <f t="shared" si="3"/>
        <v>0</v>
      </c>
      <c r="W31" s="656">
        <v>0</v>
      </c>
      <c r="X31" s="657">
        <v>0</v>
      </c>
      <c r="Y31" s="15">
        <v>0</v>
      </c>
      <c r="Z31" s="10">
        <v>0</v>
      </c>
      <c r="AA31" s="675">
        <f t="shared" si="29"/>
        <v>0</v>
      </c>
      <c r="AB31" s="676">
        <f t="shared" si="29"/>
        <v>0</v>
      </c>
      <c r="AC31" s="564"/>
      <c r="AD31" s="677"/>
      <c r="AE31" s="678">
        <f t="shared" si="32"/>
        <v>0</v>
      </c>
      <c r="AF31" s="677">
        <f t="shared" si="33"/>
        <v>0</v>
      </c>
      <c r="AG31" s="678">
        <f t="shared" si="33"/>
        <v>0</v>
      </c>
      <c r="AH31" s="15">
        <v>0</v>
      </c>
      <c r="AI31" s="10">
        <v>0</v>
      </c>
      <c r="AJ31" s="690">
        <f t="shared" si="30"/>
        <v>0</v>
      </c>
      <c r="AK31" s="691">
        <f t="shared" si="30"/>
        <v>0</v>
      </c>
      <c r="AL31" s="611">
        <v>0</v>
      </c>
      <c r="AM31" s="618">
        <v>0</v>
      </c>
      <c r="AN31" s="618">
        <v>0</v>
      </c>
      <c r="AO31" s="679" t="s">
        <v>455</v>
      </c>
      <c r="AP31" s="680">
        <v>0.83658054005576776</v>
      </c>
      <c r="AQ31" s="681">
        <v>0.57399999999999995</v>
      </c>
      <c r="AR31" s="682">
        <v>0.55800000000000005</v>
      </c>
      <c r="AS31" s="683">
        <v>0</v>
      </c>
      <c r="AT31" s="527">
        <v>0</v>
      </c>
      <c r="AU31" s="527">
        <v>0</v>
      </c>
      <c r="AV31" s="674">
        <f t="shared" si="7"/>
        <v>0</v>
      </c>
      <c r="AW31" s="712" t="s">
        <v>383</v>
      </c>
      <c r="AX31" s="713" t="s">
        <v>383</v>
      </c>
      <c r="AY31" s="714" t="s">
        <v>383</v>
      </c>
      <c r="AZ31" s="715" t="s">
        <v>383</v>
      </c>
      <c r="BA31" s="686" t="s">
        <v>486</v>
      </c>
      <c r="BB31" s="40" t="s">
        <v>383</v>
      </c>
      <c r="BC31" s="22" t="s">
        <v>383</v>
      </c>
      <c r="BD31" s="22" t="s">
        <v>383</v>
      </c>
      <c r="BE31" s="687" t="s">
        <v>383</v>
      </c>
      <c r="BF31" s="238" t="s">
        <v>383</v>
      </c>
      <c r="BG31" s="40" t="s">
        <v>383</v>
      </c>
      <c r="BH31" s="22" t="s">
        <v>383</v>
      </c>
      <c r="BI31" s="22" t="s">
        <v>383</v>
      </c>
      <c r="BJ31" s="296" t="s">
        <v>383</v>
      </c>
    </row>
    <row r="32" spans="1:62" ht="30" customHeight="1" x14ac:dyDescent="0.3">
      <c r="A32" s="346" t="str">
        <f t="shared" si="0"/>
        <v>Unitil</v>
      </c>
      <c r="B32" s="66" t="s">
        <v>383</v>
      </c>
      <c r="C32" s="66" t="s">
        <v>383</v>
      </c>
      <c r="D32" s="58" t="s">
        <v>404</v>
      </c>
      <c r="E32" s="58" t="s">
        <v>385</v>
      </c>
      <c r="F32" s="58" t="s">
        <v>409</v>
      </c>
      <c r="G32" s="58" t="s">
        <v>385</v>
      </c>
      <c r="H32" s="128" t="s">
        <v>458</v>
      </c>
      <c r="I32" s="128" t="s">
        <v>454</v>
      </c>
      <c r="J32" s="526">
        <v>8.533121508568831</v>
      </c>
      <c r="K32" s="526">
        <v>1.7917653184698865</v>
      </c>
      <c r="L32" s="670" t="s">
        <v>383</v>
      </c>
      <c r="M32" s="18">
        <v>0</v>
      </c>
      <c r="N32" s="10">
        <f t="shared" si="26"/>
        <v>0</v>
      </c>
      <c r="O32" s="15">
        <v>0</v>
      </c>
      <c r="P32" s="10">
        <f t="shared" si="26"/>
        <v>0</v>
      </c>
      <c r="Q32" s="15">
        <v>0</v>
      </c>
      <c r="R32" s="10">
        <f t="shared" si="27"/>
        <v>0</v>
      </c>
      <c r="S32" s="15">
        <f t="shared" si="3"/>
        <v>0</v>
      </c>
      <c r="T32" s="10">
        <f t="shared" si="28"/>
        <v>0</v>
      </c>
      <c r="U32" s="688">
        <f t="shared" si="3"/>
        <v>0</v>
      </c>
      <c r="V32" s="689">
        <f t="shared" si="3"/>
        <v>0</v>
      </c>
      <c r="W32" s="656">
        <v>0</v>
      </c>
      <c r="X32" s="657">
        <v>0</v>
      </c>
      <c r="Y32" s="15">
        <v>0</v>
      </c>
      <c r="Z32" s="10">
        <v>0</v>
      </c>
      <c r="AA32" s="675">
        <f t="shared" si="29"/>
        <v>0</v>
      </c>
      <c r="AB32" s="676">
        <f t="shared" si="29"/>
        <v>0</v>
      </c>
      <c r="AC32" s="564"/>
      <c r="AD32" s="677"/>
      <c r="AE32" s="678">
        <f t="shared" si="32"/>
        <v>0</v>
      </c>
      <c r="AF32" s="677">
        <f t="shared" si="33"/>
        <v>0</v>
      </c>
      <c r="AG32" s="678">
        <f t="shared" si="33"/>
        <v>0</v>
      </c>
      <c r="AH32" s="15">
        <v>0</v>
      </c>
      <c r="AI32" s="10">
        <v>0</v>
      </c>
      <c r="AJ32" s="690">
        <f t="shared" si="30"/>
        <v>0</v>
      </c>
      <c r="AK32" s="691">
        <f t="shared" si="30"/>
        <v>0</v>
      </c>
      <c r="AL32" s="611">
        <v>0</v>
      </c>
      <c r="AM32" s="618">
        <v>0</v>
      </c>
      <c r="AN32" s="618">
        <v>0</v>
      </c>
      <c r="AO32" s="679" t="s">
        <v>455</v>
      </c>
      <c r="AP32" s="680">
        <v>2.2786860424376152</v>
      </c>
      <c r="AQ32" s="681">
        <v>1.944</v>
      </c>
      <c r="AR32" s="682">
        <v>1.601</v>
      </c>
      <c r="AS32" s="683">
        <v>0</v>
      </c>
      <c r="AT32" s="527">
        <v>0</v>
      </c>
      <c r="AU32" s="527">
        <v>0</v>
      </c>
      <c r="AV32" s="674">
        <f t="shared" si="7"/>
        <v>0</v>
      </c>
      <c r="AW32" s="712">
        <v>0</v>
      </c>
      <c r="AX32" s="713">
        <v>0</v>
      </c>
      <c r="AY32" s="714">
        <v>0</v>
      </c>
      <c r="AZ32" s="715">
        <v>0</v>
      </c>
      <c r="BA32" s="686"/>
      <c r="BB32" s="40" t="s">
        <v>383</v>
      </c>
      <c r="BC32" s="22" t="s">
        <v>383</v>
      </c>
      <c r="BD32" s="22" t="s">
        <v>383</v>
      </c>
      <c r="BE32" s="687" t="s">
        <v>383</v>
      </c>
      <c r="BF32" s="238" t="s">
        <v>383</v>
      </c>
      <c r="BG32" s="40" t="s">
        <v>383</v>
      </c>
      <c r="BH32" s="22" t="s">
        <v>383</v>
      </c>
      <c r="BI32" s="22" t="s">
        <v>383</v>
      </c>
      <c r="BJ32" s="296" t="s">
        <v>383</v>
      </c>
    </row>
    <row r="33" spans="1:62" ht="30" customHeight="1" x14ac:dyDescent="0.3">
      <c r="A33" s="346" t="str">
        <f t="shared" si="0"/>
        <v>Unitil</v>
      </c>
      <c r="B33" s="66" t="s">
        <v>383</v>
      </c>
      <c r="C33" s="66" t="s">
        <v>383</v>
      </c>
      <c r="D33" s="58" t="s">
        <v>404</v>
      </c>
      <c r="E33" s="58" t="s">
        <v>385</v>
      </c>
      <c r="F33" s="58" t="s">
        <v>410</v>
      </c>
      <c r="G33" s="58" t="s">
        <v>385</v>
      </c>
      <c r="H33" s="128" t="s">
        <v>458</v>
      </c>
      <c r="I33" s="128" t="s">
        <v>454</v>
      </c>
      <c r="J33" s="526">
        <v>8.533121508568831</v>
      </c>
      <c r="K33" s="526">
        <v>1.2635706935587121</v>
      </c>
      <c r="L33" s="670" t="s">
        <v>413</v>
      </c>
      <c r="M33" s="18">
        <v>0</v>
      </c>
      <c r="N33" s="10">
        <f t="shared" si="26"/>
        <v>0</v>
      </c>
      <c r="O33" s="15">
        <v>0</v>
      </c>
      <c r="P33" s="10">
        <f t="shared" si="26"/>
        <v>0</v>
      </c>
      <c r="Q33" s="15">
        <v>0</v>
      </c>
      <c r="R33" s="10">
        <f t="shared" si="27"/>
        <v>0</v>
      </c>
      <c r="S33" s="15">
        <f t="shared" si="3"/>
        <v>0</v>
      </c>
      <c r="T33" s="10">
        <f t="shared" si="28"/>
        <v>0</v>
      </c>
      <c r="U33" s="688">
        <f t="shared" si="3"/>
        <v>0</v>
      </c>
      <c r="V33" s="689">
        <f t="shared" si="3"/>
        <v>0</v>
      </c>
      <c r="W33" s="656">
        <v>0</v>
      </c>
      <c r="X33" s="657">
        <v>0</v>
      </c>
      <c r="Y33" s="15">
        <v>0</v>
      </c>
      <c r="Z33" s="10">
        <v>0</v>
      </c>
      <c r="AA33" s="675">
        <f t="shared" si="29"/>
        <v>0</v>
      </c>
      <c r="AB33" s="676">
        <f t="shared" si="29"/>
        <v>0</v>
      </c>
      <c r="AC33" s="564"/>
      <c r="AD33" s="677"/>
      <c r="AE33" s="678">
        <f t="shared" si="32"/>
        <v>0</v>
      </c>
      <c r="AF33" s="677">
        <f t="shared" si="33"/>
        <v>0</v>
      </c>
      <c r="AG33" s="678">
        <f t="shared" si="33"/>
        <v>0</v>
      </c>
      <c r="AH33" s="15">
        <v>0</v>
      </c>
      <c r="AI33" s="10">
        <v>0</v>
      </c>
      <c r="AJ33" s="690">
        <f t="shared" si="30"/>
        <v>0</v>
      </c>
      <c r="AK33" s="691">
        <f t="shared" si="30"/>
        <v>0</v>
      </c>
      <c r="AL33" s="611">
        <v>0</v>
      </c>
      <c r="AM33" s="618">
        <v>0</v>
      </c>
      <c r="AN33" s="618">
        <v>0</v>
      </c>
      <c r="AO33" s="679" t="s">
        <v>455</v>
      </c>
      <c r="AP33" s="680">
        <v>1.6173890441078176</v>
      </c>
      <c r="AQ33" s="681">
        <v>1</v>
      </c>
      <c r="AR33" s="682">
        <v>1.1950000000000001</v>
      </c>
      <c r="AS33" s="683">
        <v>0</v>
      </c>
      <c r="AT33" s="527">
        <v>0</v>
      </c>
      <c r="AU33" s="527">
        <v>0</v>
      </c>
      <c r="AV33" s="674">
        <f t="shared" si="7"/>
        <v>0</v>
      </c>
      <c r="AW33" s="712" t="s">
        <v>383</v>
      </c>
      <c r="AX33" s="713" t="s">
        <v>383</v>
      </c>
      <c r="AY33" s="714" t="s">
        <v>383</v>
      </c>
      <c r="AZ33" s="715" t="s">
        <v>383</v>
      </c>
      <c r="BA33" s="686" t="s">
        <v>486</v>
      </c>
      <c r="BB33" s="40" t="s">
        <v>383</v>
      </c>
      <c r="BC33" s="22" t="s">
        <v>383</v>
      </c>
      <c r="BD33" s="22" t="s">
        <v>383</v>
      </c>
      <c r="BE33" s="687" t="s">
        <v>383</v>
      </c>
      <c r="BF33" s="238" t="s">
        <v>383</v>
      </c>
      <c r="BG33" s="40" t="s">
        <v>383</v>
      </c>
      <c r="BH33" s="22" t="s">
        <v>383</v>
      </c>
      <c r="BI33" s="22" t="s">
        <v>383</v>
      </c>
      <c r="BJ33" s="296" t="s">
        <v>383</v>
      </c>
    </row>
    <row r="34" spans="1:62" ht="30" customHeight="1" x14ac:dyDescent="0.3">
      <c r="A34" s="346" t="str">
        <f t="shared" si="0"/>
        <v>Unitil</v>
      </c>
      <c r="B34" s="66" t="s">
        <v>383</v>
      </c>
      <c r="C34" s="66" t="s">
        <v>383</v>
      </c>
      <c r="D34" s="58" t="s">
        <v>404</v>
      </c>
      <c r="E34" s="58" t="s">
        <v>385</v>
      </c>
      <c r="F34" s="58" t="s">
        <v>411</v>
      </c>
      <c r="G34" s="58" t="s">
        <v>385</v>
      </c>
      <c r="H34" s="128" t="s">
        <v>458</v>
      </c>
      <c r="I34" s="128" t="s">
        <v>454</v>
      </c>
      <c r="J34" s="532">
        <v>2.2949999999999999</v>
      </c>
      <c r="K34" s="526">
        <v>0.25012421940757579</v>
      </c>
      <c r="L34" s="670">
        <v>0</v>
      </c>
      <c r="M34" s="18">
        <v>1</v>
      </c>
      <c r="N34" s="10"/>
      <c r="O34" s="15">
        <v>0</v>
      </c>
      <c r="P34" s="10"/>
      <c r="Q34" s="15">
        <v>0</v>
      </c>
      <c r="R34" s="10"/>
      <c r="S34" s="15">
        <f t="shared" si="3"/>
        <v>1</v>
      </c>
      <c r="T34" s="10"/>
      <c r="U34" s="673">
        <v>1000</v>
      </c>
      <c r="V34" s="689">
        <v>0</v>
      </c>
      <c r="W34" s="656">
        <v>0</v>
      </c>
      <c r="X34" s="657">
        <v>0</v>
      </c>
      <c r="Y34" s="15">
        <v>0</v>
      </c>
      <c r="Z34" s="10">
        <v>0</v>
      </c>
      <c r="AA34" s="675">
        <f t="shared" si="29"/>
        <v>1000</v>
      </c>
      <c r="AB34" s="676">
        <f t="shared" si="29"/>
        <v>0</v>
      </c>
      <c r="AC34" s="564">
        <v>1</v>
      </c>
      <c r="AD34" s="677">
        <v>1629360</v>
      </c>
      <c r="AE34" s="678">
        <f t="shared" si="32"/>
        <v>0</v>
      </c>
      <c r="AF34" s="677">
        <f t="shared" si="33"/>
        <v>0</v>
      </c>
      <c r="AG34" s="678">
        <f t="shared" si="33"/>
        <v>0</v>
      </c>
      <c r="AH34" s="15">
        <v>0</v>
      </c>
      <c r="AI34" s="10">
        <v>0</v>
      </c>
      <c r="AJ34" s="690">
        <f t="shared" si="30"/>
        <v>1629360</v>
      </c>
      <c r="AK34" s="691">
        <f t="shared" si="30"/>
        <v>0</v>
      </c>
      <c r="AL34" s="611">
        <v>0</v>
      </c>
      <c r="AM34" s="618">
        <v>0</v>
      </c>
      <c r="AN34" s="618">
        <v>0</v>
      </c>
      <c r="AO34" s="679" t="s">
        <v>455</v>
      </c>
      <c r="AP34" s="680">
        <v>0</v>
      </c>
      <c r="AQ34" s="681">
        <v>0</v>
      </c>
      <c r="AR34" s="682">
        <v>0</v>
      </c>
      <c r="AS34" s="683">
        <v>0</v>
      </c>
      <c r="AT34" s="527">
        <v>0</v>
      </c>
      <c r="AU34" s="527">
        <v>0</v>
      </c>
      <c r="AV34" s="674">
        <f t="shared" si="7"/>
        <v>0</v>
      </c>
      <c r="AW34" s="684" t="s">
        <v>383</v>
      </c>
      <c r="AX34" s="572" t="s">
        <v>383</v>
      </c>
      <c r="AY34" s="681" t="s">
        <v>383</v>
      </c>
      <c r="AZ34" s="685" t="s">
        <v>383</v>
      </c>
      <c r="BA34" s="686" t="s">
        <v>488</v>
      </c>
      <c r="BB34" s="40" t="s">
        <v>383</v>
      </c>
      <c r="BC34" s="22" t="s">
        <v>383</v>
      </c>
      <c r="BD34" s="22" t="s">
        <v>383</v>
      </c>
      <c r="BE34" s="687" t="s">
        <v>383</v>
      </c>
      <c r="BF34" s="238" t="s">
        <v>383</v>
      </c>
      <c r="BG34" s="40" t="s">
        <v>383</v>
      </c>
      <c r="BH34" s="22" t="s">
        <v>383</v>
      </c>
      <c r="BI34" s="22" t="s">
        <v>383</v>
      </c>
      <c r="BJ34" s="296" t="s">
        <v>383</v>
      </c>
    </row>
    <row r="35" spans="1:62" ht="30" customHeight="1" x14ac:dyDescent="0.3">
      <c r="A35" s="346" t="str">
        <f t="shared" si="0"/>
        <v>Unitil</v>
      </c>
      <c r="B35" s="66" t="s">
        <v>383</v>
      </c>
      <c r="C35" s="66" t="s">
        <v>383</v>
      </c>
      <c r="D35" s="58" t="s">
        <v>404</v>
      </c>
      <c r="E35" s="58" t="s">
        <v>385</v>
      </c>
      <c r="F35" s="58" t="s">
        <v>412</v>
      </c>
      <c r="G35" s="58" t="s">
        <v>385</v>
      </c>
      <c r="H35" s="128" t="s">
        <v>458</v>
      </c>
      <c r="I35" s="128" t="s">
        <v>454</v>
      </c>
      <c r="J35" s="526">
        <v>8.533121508568831</v>
      </c>
      <c r="K35" s="526">
        <v>1.7169986011799245</v>
      </c>
      <c r="L35" s="670">
        <v>6</v>
      </c>
      <c r="M35" s="18">
        <v>0</v>
      </c>
      <c r="N35" s="10">
        <f t="shared" si="26"/>
        <v>0</v>
      </c>
      <c r="O35" s="15">
        <v>0</v>
      </c>
      <c r="P35" s="10">
        <f t="shared" si="26"/>
        <v>0</v>
      </c>
      <c r="Q35" s="15">
        <v>0</v>
      </c>
      <c r="R35" s="10">
        <f t="shared" ref="R35:R36" si="34">Q35</f>
        <v>0</v>
      </c>
      <c r="S35" s="15">
        <f t="shared" si="3"/>
        <v>0</v>
      </c>
      <c r="T35" s="10">
        <f t="shared" ref="T35:T36" si="35">S35</f>
        <v>0</v>
      </c>
      <c r="U35" s="688">
        <f t="shared" si="3"/>
        <v>0</v>
      </c>
      <c r="V35" s="689">
        <f t="shared" si="3"/>
        <v>0</v>
      </c>
      <c r="W35" s="656">
        <v>0</v>
      </c>
      <c r="X35" s="657">
        <v>0</v>
      </c>
      <c r="Y35" s="15">
        <v>0</v>
      </c>
      <c r="Z35" s="10">
        <v>0</v>
      </c>
      <c r="AA35" s="675">
        <f t="shared" si="29"/>
        <v>0</v>
      </c>
      <c r="AB35" s="676">
        <f t="shared" si="29"/>
        <v>0</v>
      </c>
      <c r="AC35" s="564"/>
      <c r="AD35" s="677"/>
      <c r="AE35" s="678">
        <f t="shared" si="32"/>
        <v>0</v>
      </c>
      <c r="AF35" s="677">
        <f t="shared" si="33"/>
        <v>0</v>
      </c>
      <c r="AG35" s="678">
        <f t="shared" si="33"/>
        <v>0</v>
      </c>
      <c r="AH35" s="15">
        <v>0</v>
      </c>
      <c r="AI35" s="10">
        <v>0</v>
      </c>
      <c r="AJ35" s="690">
        <f t="shared" si="30"/>
        <v>0</v>
      </c>
      <c r="AK35" s="691">
        <f t="shared" si="30"/>
        <v>0</v>
      </c>
      <c r="AL35" s="611">
        <v>4567757.8156382646</v>
      </c>
      <c r="AM35" s="618">
        <v>4386624.287392444</v>
      </c>
      <c r="AN35" s="618">
        <v>4853635.6894739056</v>
      </c>
      <c r="AO35" s="679" t="s">
        <v>455</v>
      </c>
      <c r="AP35" s="680">
        <v>1.0676361177854561</v>
      </c>
      <c r="AQ35" s="681">
        <v>1</v>
      </c>
      <c r="AR35" s="682">
        <v>1.06</v>
      </c>
      <c r="AS35" s="683">
        <v>0</v>
      </c>
      <c r="AT35" s="527">
        <v>0</v>
      </c>
      <c r="AU35" s="527">
        <v>0</v>
      </c>
      <c r="AV35" s="674">
        <f t="shared" si="7"/>
        <v>0</v>
      </c>
      <c r="AW35" s="712">
        <v>33.416670000000003</v>
      </c>
      <c r="AX35" s="713">
        <v>32.86</v>
      </c>
      <c r="AY35" s="714">
        <v>1.111</v>
      </c>
      <c r="AZ35" s="715">
        <v>0.83333330000000005</v>
      </c>
      <c r="BA35" s="686" t="s">
        <v>483</v>
      </c>
      <c r="BB35" s="40" t="s">
        <v>383</v>
      </c>
      <c r="BC35" s="22" t="s">
        <v>383</v>
      </c>
      <c r="BD35" s="22" t="s">
        <v>383</v>
      </c>
      <c r="BE35" s="687" t="s">
        <v>383</v>
      </c>
      <c r="BF35" s="238" t="s">
        <v>383</v>
      </c>
      <c r="BG35" s="40" t="s">
        <v>383</v>
      </c>
      <c r="BH35" s="22" t="s">
        <v>383</v>
      </c>
      <c r="BI35" s="22" t="s">
        <v>383</v>
      </c>
      <c r="BJ35" s="296" t="s">
        <v>383</v>
      </c>
    </row>
    <row r="36" spans="1:62" ht="30" customHeight="1" x14ac:dyDescent="0.3">
      <c r="A36" s="346" t="str">
        <f t="shared" si="0"/>
        <v>Unitil</v>
      </c>
      <c r="B36" s="66" t="s">
        <v>383</v>
      </c>
      <c r="C36" s="66" t="s">
        <v>383</v>
      </c>
      <c r="D36" s="58" t="s">
        <v>404</v>
      </c>
      <c r="E36" s="58" t="s">
        <v>385</v>
      </c>
      <c r="F36" s="58" t="s">
        <v>413</v>
      </c>
      <c r="G36" s="58" t="s">
        <v>385</v>
      </c>
      <c r="H36" s="128" t="s">
        <v>458</v>
      </c>
      <c r="I36" s="128" t="s">
        <v>460</v>
      </c>
      <c r="J36" s="526">
        <v>9.8000000000000007</v>
      </c>
      <c r="K36" s="526" t="s">
        <v>383</v>
      </c>
      <c r="L36" s="670">
        <v>505</v>
      </c>
      <c r="M36" s="18">
        <v>0</v>
      </c>
      <c r="N36" s="10">
        <f t="shared" si="26"/>
        <v>0</v>
      </c>
      <c r="O36" s="15">
        <v>0</v>
      </c>
      <c r="P36" s="10">
        <f t="shared" si="26"/>
        <v>0</v>
      </c>
      <c r="Q36" s="15">
        <v>0</v>
      </c>
      <c r="R36" s="10">
        <f t="shared" si="34"/>
        <v>0</v>
      </c>
      <c r="S36" s="15">
        <f t="shared" si="3"/>
        <v>0</v>
      </c>
      <c r="T36" s="10">
        <f t="shared" si="35"/>
        <v>0</v>
      </c>
      <c r="U36" s="688">
        <f t="shared" si="3"/>
        <v>0</v>
      </c>
      <c r="V36" s="689">
        <f t="shared" si="3"/>
        <v>0</v>
      </c>
      <c r="W36" s="656">
        <v>0</v>
      </c>
      <c r="X36" s="657">
        <v>0</v>
      </c>
      <c r="Y36" s="15">
        <v>0</v>
      </c>
      <c r="Z36" s="10">
        <v>0</v>
      </c>
      <c r="AA36" s="675">
        <f>U36+W36+Y36</f>
        <v>0</v>
      </c>
      <c r="AB36" s="676">
        <f>V36+X36+Z36</f>
        <v>0</v>
      </c>
      <c r="AC36" s="564" t="e">
        <f>AA36/P36</f>
        <v>#DIV/0!</v>
      </c>
      <c r="AD36" s="677"/>
      <c r="AE36" s="678">
        <f t="shared" si="32"/>
        <v>0</v>
      </c>
      <c r="AF36" s="677">
        <f t="shared" si="33"/>
        <v>0</v>
      </c>
      <c r="AG36" s="678">
        <f t="shared" si="33"/>
        <v>0</v>
      </c>
      <c r="AH36" s="15">
        <v>0</v>
      </c>
      <c r="AI36" s="10">
        <v>0</v>
      </c>
      <c r="AJ36" s="690">
        <f t="shared" si="30"/>
        <v>0</v>
      </c>
      <c r="AK36" s="691">
        <f t="shared" si="30"/>
        <v>0</v>
      </c>
      <c r="AL36" s="611">
        <v>12748816.589915754</v>
      </c>
      <c r="AM36" s="618">
        <v>10190128.219612647</v>
      </c>
      <c r="AN36" s="618">
        <v>10906943.596534757</v>
      </c>
      <c r="AO36" s="679" t="s">
        <v>455</v>
      </c>
      <c r="AP36" s="680">
        <v>2.9798202093414967</v>
      </c>
      <c r="AQ36" s="681">
        <v>2.323</v>
      </c>
      <c r="AR36" s="682">
        <v>2.3820000000000001</v>
      </c>
      <c r="AS36" s="683">
        <v>1</v>
      </c>
      <c r="AT36" s="527">
        <v>0</v>
      </c>
      <c r="AU36" s="527">
        <v>0</v>
      </c>
      <c r="AV36" s="674">
        <f t="shared" si="7"/>
        <v>0.33333333333333331</v>
      </c>
      <c r="AW36" s="684">
        <v>75.045680000000004</v>
      </c>
      <c r="AX36" s="572">
        <v>17.136669999999999</v>
      </c>
      <c r="AY36" s="681">
        <v>0.66474730000000004</v>
      </c>
      <c r="AZ36" s="685">
        <v>0.32533329999999999</v>
      </c>
      <c r="BA36" s="686" t="s">
        <v>489</v>
      </c>
      <c r="BB36" s="40" t="s">
        <v>383</v>
      </c>
      <c r="BC36" s="22" t="s">
        <v>383</v>
      </c>
      <c r="BD36" s="22" t="s">
        <v>383</v>
      </c>
      <c r="BE36" s="687" t="s">
        <v>383</v>
      </c>
      <c r="BF36" s="238" t="s">
        <v>383</v>
      </c>
      <c r="BG36" s="40" t="s">
        <v>383</v>
      </c>
      <c r="BH36" s="22" t="s">
        <v>383</v>
      </c>
      <c r="BI36" s="22" t="s">
        <v>383</v>
      </c>
      <c r="BJ36" s="296" t="s">
        <v>383</v>
      </c>
    </row>
    <row r="37" spans="1:62" ht="30" customHeight="1" x14ac:dyDescent="0.3">
      <c r="A37" s="346" t="str">
        <f t="shared" si="0"/>
        <v>Unitil</v>
      </c>
      <c r="B37" s="66" t="s">
        <v>383</v>
      </c>
      <c r="C37" s="66" t="s">
        <v>383</v>
      </c>
      <c r="D37" s="58" t="s">
        <v>404</v>
      </c>
      <c r="E37" s="58" t="s">
        <v>385</v>
      </c>
      <c r="F37" s="496"/>
      <c r="G37" s="496"/>
      <c r="H37" s="496"/>
      <c r="I37" s="496"/>
      <c r="J37" s="692"/>
      <c r="K37" s="692"/>
      <c r="L37" s="693"/>
      <c r="M37" s="694"/>
      <c r="N37" s="497"/>
      <c r="O37" s="569"/>
      <c r="P37" s="497"/>
      <c r="Q37" s="569"/>
      <c r="R37" s="497"/>
      <c r="S37" s="569"/>
      <c r="T37" s="497"/>
      <c r="U37" s="695"/>
      <c r="V37" s="696"/>
      <c r="W37" s="697"/>
      <c r="X37" s="698"/>
      <c r="Y37" s="569"/>
      <c r="Z37" s="497"/>
      <c r="AA37" s="529"/>
      <c r="AB37" s="699"/>
      <c r="AC37" s="700"/>
      <c r="AD37" s="569"/>
      <c r="AE37" s="497"/>
      <c r="AF37" s="569"/>
      <c r="AG37" s="497"/>
      <c r="AH37" s="569"/>
      <c r="AI37" s="497"/>
      <c r="AJ37" s="569"/>
      <c r="AK37" s="497"/>
      <c r="AL37" s="701"/>
      <c r="AM37" s="702"/>
      <c r="AN37" s="702"/>
      <c r="AO37" s="497"/>
      <c r="AP37" s="703"/>
      <c r="AQ37" s="692"/>
      <c r="AR37" s="704"/>
      <c r="AS37" s="569"/>
      <c r="AT37" s="496"/>
      <c r="AU37" s="496"/>
      <c r="AV37" s="497"/>
      <c r="AW37" s="569"/>
      <c r="AX37" s="496"/>
      <c r="AY37" s="496"/>
      <c r="AZ37" s="497"/>
      <c r="BA37" s="705"/>
      <c r="BB37" s="569"/>
      <c r="BC37" s="496"/>
      <c r="BD37" s="496"/>
      <c r="BE37" s="497"/>
      <c r="BF37" s="705"/>
      <c r="BG37" s="569"/>
      <c r="BH37" s="496"/>
      <c r="BI37" s="496"/>
      <c r="BJ37" s="497"/>
    </row>
    <row r="38" spans="1:62" ht="30" customHeight="1" x14ac:dyDescent="0.3">
      <c r="A38" s="346" t="str">
        <f t="shared" si="0"/>
        <v>Unitil</v>
      </c>
      <c r="B38" s="66" t="s">
        <v>383</v>
      </c>
      <c r="C38" s="66" t="s">
        <v>383</v>
      </c>
      <c r="D38" s="58" t="s">
        <v>414</v>
      </c>
      <c r="E38" s="58" t="s">
        <v>385</v>
      </c>
      <c r="F38" s="58" t="s">
        <v>415</v>
      </c>
      <c r="G38" s="58" t="s">
        <v>385</v>
      </c>
      <c r="H38" s="128" t="s">
        <v>453</v>
      </c>
      <c r="I38" s="128" t="s">
        <v>454</v>
      </c>
      <c r="J38" s="526">
        <v>9.5609204577802025</v>
      </c>
      <c r="K38" s="526">
        <v>12.960843923390152</v>
      </c>
      <c r="L38" s="670">
        <v>1194</v>
      </c>
      <c r="M38" s="671">
        <v>86</v>
      </c>
      <c r="N38" s="672">
        <f t="shared" ref="N38:P40" si="36">M38</f>
        <v>86</v>
      </c>
      <c r="O38" s="15">
        <v>0</v>
      </c>
      <c r="P38" s="672">
        <f t="shared" si="36"/>
        <v>0</v>
      </c>
      <c r="Q38" s="15">
        <v>1</v>
      </c>
      <c r="R38" s="672">
        <f t="shared" ref="R38:R40" si="37">Q38</f>
        <v>1</v>
      </c>
      <c r="S38" s="15">
        <f t="shared" si="3"/>
        <v>87</v>
      </c>
      <c r="T38" s="672">
        <f t="shared" ref="T38:T40" si="38">S38</f>
        <v>87</v>
      </c>
      <c r="U38" s="673">
        <v>749.2</v>
      </c>
      <c r="V38" s="674">
        <v>645.54</v>
      </c>
      <c r="W38" s="656">
        <v>0</v>
      </c>
      <c r="X38" s="657">
        <v>0</v>
      </c>
      <c r="Y38" s="15">
        <v>0</v>
      </c>
      <c r="Z38" s="10">
        <v>0</v>
      </c>
      <c r="AA38" s="675">
        <f t="shared" ref="AA38:AB40" si="39">U38+W38+Y38</f>
        <v>749.2</v>
      </c>
      <c r="AB38" s="676">
        <f t="shared" si="39"/>
        <v>645.54</v>
      </c>
      <c r="AC38" s="564">
        <v>0.31155405405405406</v>
      </c>
      <c r="AD38" s="677">
        <v>1051817.0544</v>
      </c>
      <c r="AE38" s="678">
        <v>1051817.0544</v>
      </c>
      <c r="AF38" s="677">
        <f t="shared" ref="AF38:AG40" si="40">2080*W38</f>
        <v>0</v>
      </c>
      <c r="AG38" s="678">
        <f t="shared" si="40"/>
        <v>0</v>
      </c>
      <c r="AH38" s="15">
        <v>0</v>
      </c>
      <c r="AI38" s="10">
        <v>0</v>
      </c>
      <c r="AJ38" s="690">
        <f t="shared" ref="AJ38:AK40" si="41">AD38+AF38+AH38</f>
        <v>1051817.0544</v>
      </c>
      <c r="AK38" s="691">
        <f t="shared" si="41"/>
        <v>1051817.0544</v>
      </c>
      <c r="AL38" s="611">
        <v>10021796.998489924</v>
      </c>
      <c r="AM38" s="618">
        <v>10589311.02976536</v>
      </c>
      <c r="AN38" s="618">
        <v>9487484.1024433319</v>
      </c>
      <c r="AO38" s="679" t="s">
        <v>455</v>
      </c>
      <c r="AP38" s="680">
        <v>2.3424255121561499</v>
      </c>
      <c r="AQ38" s="681">
        <v>2.4140000000000001</v>
      </c>
      <c r="AR38" s="682">
        <v>2.0720000000000001</v>
      </c>
      <c r="AS38" s="683">
        <v>0</v>
      </c>
      <c r="AT38" s="527">
        <v>2</v>
      </c>
      <c r="AU38" s="527">
        <v>2</v>
      </c>
      <c r="AV38" s="674">
        <f t="shared" si="7"/>
        <v>1.3333333333333333</v>
      </c>
      <c r="AW38" s="684">
        <v>14.783329999999999</v>
      </c>
      <c r="AX38" s="572">
        <v>13.96</v>
      </c>
      <c r="AY38" s="681">
        <v>0.32133329999999999</v>
      </c>
      <c r="AZ38" s="685">
        <v>0.313</v>
      </c>
      <c r="BA38" s="686" t="s">
        <v>490</v>
      </c>
      <c r="BB38" s="40" t="s">
        <v>383</v>
      </c>
      <c r="BC38" s="22" t="s">
        <v>383</v>
      </c>
      <c r="BD38" s="22" t="s">
        <v>383</v>
      </c>
      <c r="BE38" s="687" t="s">
        <v>383</v>
      </c>
      <c r="BF38" s="238" t="s">
        <v>383</v>
      </c>
      <c r="BG38" s="40" t="s">
        <v>383</v>
      </c>
      <c r="BH38" s="22" t="s">
        <v>383</v>
      </c>
      <c r="BI38" s="22" t="s">
        <v>383</v>
      </c>
      <c r="BJ38" s="296" t="s">
        <v>383</v>
      </c>
    </row>
    <row r="39" spans="1:62" ht="30" customHeight="1" x14ac:dyDescent="0.3">
      <c r="A39" s="346" t="str">
        <f t="shared" si="0"/>
        <v>Unitil</v>
      </c>
      <c r="B39" s="66" t="s">
        <v>383</v>
      </c>
      <c r="C39" s="66" t="s">
        <v>383</v>
      </c>
      <c r="D39" s="58" t="s">
        <v>414</v>
      </c>
      <c r="E39" s="58" t="s">
        <v>385</v>
      </c>
      <c r="F39" s="58" t="s">
        <v>416</v>
      </c>
      <c r="G39" s="58" t="s">
        <v>385</v>
      </c>
      <c r="H39" s="128" t="s">
        <v>453</v>
      </c>
      <c r="I39" s="128" t="s">
        <v>454</v>
      </c>
      <c r="J39" s="526">
        <v>7.1706903433351519</v>
      </c>
      <c r="K39" s="526">
        <v>9.2966611017651513</v>
      </c>
      <c r="L39" s="670">
        <v>637</v>
      </c>
      <c r="M39" s="671">
        <v>26</v>
      </c>
      <c r="N39" s="672">
        <f t="shared" si="36"/>
        <v>26</v>
      </c>
      <c r="O39" s="15">
        <v>0</v>
      </c>
      <c r="P39" s="672">
        <f t="shared" si="36"/>
        <v>0</v>
      </c>
      <c r="Q39" s="15">
        <v>0</v>
      </c>
      <c r="R39" s="672">
        <f t="shared" si="37"/>
        <v>0</v>
      </c>
      <c r="S39" s="15">
        <f t="shared" si="3"/>
        <v>26</v>
      </c>
      <c r="T39" s="672">
        <f t="shared" si="38"/>
        <v>26</v>
      </c>
      <c r="U39" s="673">
        <v>166.5</v>
      </c>
      <c r="V39" s="674">
        <v>125.31</v>
      </c>
      <c r="W39" s="656">
        <v>0</v>
      </c>
      <c r="X39" s="657">
        <v>0</v>
      </c>
      <c r="Y39" s="15">
        <v>0</v>
      </c>
      <c r="Z39" s="10">
        <v>0</v>
      </c>
      <c r="AA39" s="675">
        <f t="shared" si="39"/>
        <v>166.5</v>
      </c>
      <c r="AB39" s="676">
        <f t="shared" si="39"/>
        <v>125.31</v>
      </c>
      <c r="AC39" s="564">
        <v>9.5876052027543998E-2</v>
      </c>
      <c r="AD39" s="677">
        <v>204175.10159999999</v>
      </c>
      <c r="AE39" s="678">
        <v>204175.10159999999</v>
      </c>
      <c r="AF39" s="677">
        <f t="shared" si="40"/>
        <v>0</v>
      </c>
      <c r="AG39" s="678">
        <f t="shared" si="40"/>
        <v>0</v>
      </c>
      <c r="AH39" s="15">
        <v>0</v>
      </c>
      <c r="AI39" s="10">
        <v>0</v>
      </c>
      <c r="AJ39" s="690">
        <f t="shared" si="41"/>
        <v>204175.10159999999</v>
      </c>
      <c r="AK39" s="691">
        <f t="shared" si="41"/>
        <v>204175.10159999999</v>
      </c>
      <c r="AL39" s="611">
        <v>8249234.2640631357</v>
      </c>
      <c r="AM39" s="618">
        <v>5904396.2908302303</v>
      </c>
      <c r="AN39" s="618">
        <v>5984624.3831532029</v>
      </c>
      <c r="AO39" s="679" t="s">
        <v>455</v>
      </c>
      <c r="AP39" s="680">
        <v>1.9281189589856744</v>
      </c>
      <c r="AQ39" s="681">
        <v>1.3460000000000001</v>
      </c>
      <c r="AR39" s="682">
        <v>1.3069999999999999</v>
      </c>
      <c r="AS39" s="683">
        <v>1</v>
      </c>
      <c r="AT39" s="527">
        <v>2</v>
      </c>
      <c r="AU39" s="527">
        <v>0</v>
      </c>
      <c r="AV39" s="674">
        <f t="shared" si="7"/>
        <v>1</v>
      </c>
      <c r="AW39" s="684">
        <v>245.08670000000001</v>
      </c>
      <c r="AX39" s="572">
        <v>19.343330000000002</v>
      </c>
      <c r="AY39" s="681">
        <v>0.46166669999999999</v>
      </c>
      <c r="AZ39" s="685">
        <v>0.24733330000000001</v>
      </c>
      <c r="BA39" s="686" t="s">
        <v>491</v>
      </c>
      <c r="BB39" s="40" t="s">
        <v>383</v>
      </c>
      <c r="BC39" s="22" t="s">
        <v>383</v>
      </c>
      <c r="BD39" s="22" t="s">
        <v>383</v>
      </c>
      <c r="BE39" s="687" t="s">
        <v>383</v>
      </c>
      <c r="BF39" s="238" t="s">
        <v>383</v>
      </c>
      <c r="BG39" s="40" t="s">
        <v>383</v>
      </c>
      <c r="BH39" s="22" t="s">
        <v>383</v>
      </c>
      <c r="BI39" s="22" t="s">
        <v>383</v>
      </c>
      <c r="BJ39" s="296" t="s">
        <v>383</v>
      </c>
    </row>
    <row r="40" spans="1:62" ht="30" customHeight="1" x14ac:dyDescent="0.3">
      <c r="A40" s="346" t="str">
        <f t="shared" si="0"/>
        <v>Unitil</v>
      </c>
      <c r="B40" s="66" t="s">
        <v>383</v>
      </c>
      <c r="C40" s="66" t="s">
        <v>383</v>
      </c>
      <c r="D40" s="58" t="s">
        <v>414</v>
      </c>
      <c r="E40" s="58" t="s">
        <v>385</v>
      </c>
      <c r="F40" s="58" t="s">
        <v>417</v>
      </c>
      <c r="G40" s="58" t="s">
        <v>385</v>
      </c>
      <c r="H40" s="128" t="s">
        <v>453</v>
      </c>
      <c r="I40" s="128" t="s">
        <v>454</v>
      </c>
      <c r="J40" s="526">
        <v>9.1784836394689986</v>
      </c>
      <c r="K40" s="526">
        <v>2.6260885587878788E-3</v>
      </c>
      <c r="L40" s="670">
        <v>0</v>
      </c>
      <c r="M40" s="18">
        <v>0</v>
      </c>
      <c r="N40" s="10">
        <f t="shared" si="36"/>
        <v>0</v>
      </c>
      <c r="O40" s="15">
        <v>0</v>
      </c>
      <c r="P40" s="10">
        <f t="shared" si="36"/>
        <v>0</v>
      </c>
      <c r="Q40" s="15">
        <v>0</v>
      </c>
      <c r="R40" s="10">
        <f t="shared" si="37"/>
        <v>0</v>
      </c>
      <c r="S40" s="15">
        <f t="shared" si="3"/>
        <v>0</v>
      </c>
      <c r="T40" s="10">
        <f t="shared" si="38"/>
        <v>0</v>
      </c>
      <c r="U40" s="688">
        <f t="shared" si="3"/>
        <v>0</v>
      </c>
      <c r="V40" s="689">
        <f t="shared" si="3"/>
        <v>0</v>
      </c>
      <c r="W40" s="656">
        <v>0</v>
      </c>
      <c r="X40" s="657">
        <v>0</v>
      </c>
      <c r="Y40" s="15">
        <v>0</v>
      </c>
      <c r="Z40" s="10">
        <v>0</v>
      </c>
      <c r="AA40" s="675">
        <f t="shared" si="39"/>
        <v>0</v>
      </c>
      <c r="AB40" s="676">
        <f t="shared" si="39"/>
        <v>0</v>
      </c>
      <c r="AC40" s="564"/>
      <c r="AD40" s="677">
        <f>1302*(U40)</f>
        <v>0</v>
      </c>
      <c r="AE40" s="678">
        <f>1302*V40</f>
        <v>0</v>
      </c>
      <c r="AF40" s="677">
        <f t="shared" si="40"/>
        <v>0</v>
      </c>
      <c r="AG40" s="678">
        <f t="shared" si="40"/>
        <v>0</v>
      </c>
      <c r="AH40" s="15">
        <v>0</v>
      </c>
      <c r="AI40" s="10">
        <v>0</v>
      </c>
      <c r="AJ40" s="690">
        <f t="shared" si="41"/>
        <v>0</v>
      </c>
      <c r="AK40" s="691">
        <f t="shared" si="41"/>
        <v>0</v>
      </c>
      <c r="AL40" s="611">
        <v>0</v>
      </c>
      <c r="AM40" s="618">
        <v>0</v>
      </c>
      <c r="AN40" s="618">
        <v>0</v>
      </c>
      <c r="AO40" s="679" t="s">
        <v>455</v>
      </c>
      <c r="AP40" s="680">
        <v>0</v>
      </c>
      <c r="AQ40" s="681">
        <v>0</v>
      </c>
      <c r="AR40" s="682">
        <v>0</v>
      </c>
      <c r="AS40" s="683">
        <v>0</v>
      </c>
      <c r="AT40" s="527">
        <v>0</v>
      </c>
      <c r="AU40" s="527">
        <v>0</v>
      </c>
      <c r="AV40" s="674">
        <f t="shared" si="7"/>
        <v>0</v>
      </c>
      <c r="AW40" s="684" t="s">
        <v>383</v>
      </c>
      <c r="AX40" s="572" t="s">
        <v>383</v>
      </c>
      <c r="AY40" s="681" t="s">
        <v>383</v>
      </c>
      <c r="AZ40" s="685" t="s">
        <v>383</v>
      </c>
      <c r="BA40" s="686" t="s">
        <v>473</v>
      </c>
      <c r="BB40" s="40" t="s">
        <v>383</v>
      </c>
      <c r="BC40" s="22" t="s">
        <v>383</v>
      </c>
      <c r="BD40" s="22" t="s">
        <v>383</v>
      </c>
      <c r="BE40" s="687" t="s">
        <v>383</v>
      </c>
      <c r="BF40" s="238" t="s">
        <v>383</v>
      </c>
      <c r="BG40" s="40" t="s">
        <v>383</v>
      </c>
      <c r="BH40" s="22" t="s">
        <v>383</v>
      </c>
      <c r="BI40" s="22" t="s">
        <v>383</v>
      </c>
      <c r="BJ40" s="296" t="s">
        <v>383</v>
      </c>
    </row>
    <row r="41" spans="1:62" ht="30" customHeight="1" x14ac:dyDescent="0.3">
      <c r="A41" s="346" t="str">
        <f t="shared" si="0"/>
        <v>Unitil</v>
      </c>
      <c r="B41" s="66" t="s">
        <v>383</v>
      </c>
      <c r="C41" s="66" t="s">
        <v>383</v>
      </c>
      <c r="D41" s="58" t="s">
        <v>414</v>
      </c>
      <c r="E41" s="58" t="s">
        <v>385</v>
      </c>
      <c r="F41" s="496"/>
      <c r="G41" s="496"/>
      <c r="H41" s="496"/>
      <c r="I41" s="496"/>
      <c r="J41" s="692"/>
      <c r="K41" s="692"/>
      <c r="L41" s="693"/>
      <c r="M41" s="694"/>
      <c r="N41" s="497"/>
      <c r="O41" s="569"/>
      <c r="P41" s="497"/>
      <c r="Q41" s="569"/>
      <c r="R41" s="497"/>
      <c r="S41" s="569"/>
      <c r="T41" s="497"/>
      <c r="U41" s="695"/>
      <c r="V41" s="696"/>
      <c r="W41" s="697"/>
      <c r="X41" s="698"/>
      <c r="Y41" s="569"/>
      <c r="Z41" s="497"/>
      <c r="AA41" s="529"/>
      <c r="AB41" s="699"/>
      <c r="AC41" s="700"/>
      <c r="AD41" s="569"/>
      <c r="AE41" s="497"/>
      <c r="AF41" s="569"/>
      <c r="AG41" s="497"/>
      <c r="AH41" s="569"/>
      <c r="AI41" s="497"/>
      <c r="AJ41" s="569"/>
      <c r="AK41" s="497"/>
      <c r="AL41" s="701"/>
      <c r="AM41" s="702"/>
      <c r="AN41" s="702"/>
      <c r="AO41" s="497"/>
      <c r="AP41" s="703"/>
      <c r="AQ41" s="692"/>
      <c r="AR41" s="704"/>
      <c r="AS41" s="569"/>
      <c r="AT41" s="496"/>
      <c r="AU41" s="496"/>
      <c r="AV41" s="497"/>
      <c r="AW41" s="569"/>
      <c r="AX41" s="496"/>
      <c r="AY41" s="496"/>
      <c r="AZ41" s="497"/>
      <c r="BA41" s="705"/>
      <c r="BB41" s="569"/>
      <c r="BC41" s="496"/>
      <c r="BD41" s="496"/>
      <c r="BE41" s="497"/>
      <c r="BF41" s="705"/>
      <c r="BG41" s="569"/>
      <c r="BH41" s="496"/>
      <c r="BI41" s="496"/>
      <c r="BJ41" s="497"/>
    </row>
    <row r="42" spans="1:62" ht="30" customHeight="1" x14ac:dyDescent="0.3">
      <c r="A42" s="346" t="str">
        <f t="shared" si="0"/>
        <v>Unitil</v>
      </c>
      <c r="B42" s="66" t="s">
        <v>383</v>
      </c>
      <c r="C42" s="66" t="s">
        <v>383</v>
      </c>
      <c r="D42" s="58" t="s">
        <v>418</v>
      </c>
      <c r="E42" s="58" t="s">
        <v>418</v>
      </c>
      <c r="F42" s="58" t="s">
        <v>419</v>
      </c>
      <c r="G42" s="58" t="s">
        <v>418</v>
      </c>
      <c r="H42" s="128" t="s">
        <v>453</v>
      </c>
      <c r="I42" s="128" t="s">
        <v>454</v>
      </c>
      <c r="J42" s="526">
        <v>9.94335727609141</v>
      </c>
      <c r="K42" s="526">
        <v>45.816247352746217</v>
      </c>
      <c r="L42" s="670">
        <v>1308</v>
      </c>
      <c r="M42" s="671">
        <v>141</v>
      </c>
      <c r="N42" s="672">
        <f t="shared" ref="N42:P43" si="42">M42</f>
        <v>141</v>
      </c>
      <c r="O42" s="15">
        <v>0</v>
      </c>
      <c r="P42" s="672">
        <f t="shared" si="42"/>
        <v>0</v>
      </c>
      <c r="Q42" s="15">
        <v>1</v>
      </c>
      <c r="R42" s="672">
        <f t="shared" ref="R42:R43" si="43">Q42</f>
        <v>1</v>
      </c>
      <c r="S42" s="15">
        <f t="shared" si="3"/>
        <v>142</v>
      </c>
      <c r="T42" s="672">
        <f t="shared" ref="T42:T43" si="44">S42</f>
        <v>142</v>
      </c>
      <c r="U42" s="673">
        <v>1321.4</v>
      </c>
      <c r="V42" s="674">
        <v>1006.9</v>
      </c>
      <c r="W42" s="656">
        <v>0</v>
      </c>
      <c r="X42" s="657">
        <v>0</v>
      </c>
      <c r="Y42" s="15">
        <v>7.6</v>
      </c>
      <c r="Z42" s="10">
        <v>0</v>
      </c>
      <c r="AA42" s="675">
        <f t="shared" ref="AA42:AB43" si="45">U42+W42+Y42</f>
        <v>1329</v>
      </c>
      <c r="AB42" s="676">
        <f t="shared" si="45"/>
        <v>1006.9</v>
      </c>
      <c r="AC42" s="564">
        <v>0.22811508835523334</v>
      </c>
      <c r="AD42" s="677">
        <v>1640602.584</v>
      </c>
      <c r="AE42" s="678">
        <v>2057181.0552000001</v>
      </c>
      <c r="AF42" s="677">
        <f t="shared" ref="AF42:AG42" si="46">2080*W42</f>
        <v>0</v>
      </c>
      <c r="AG42" s="678">
        <f t="shared" si="46"/>
        <v>0</v>
      </c>
      <c r="AH42" s="15">
        <v>0</v>
      </c>
      <c r="AI42" s="10">
        <v>0</v>
      </c>
      <c r="AJ42" s="690">
        <f t="shared" ref="AJ42:AK43" si="47">AD42+AF42+AH42</f>
        <v>1640602.584</v>
      </c>
      <c r="AK42" s="691">
        <f t="shared" si="47"/>
        <v>2057181.0552000001</v>
      </c>
      <c r="AL42" s="611">
        <v>19532277.823587507</v>
      </c>
      <c r="AM42" s="618">
        <v>19187094.633054551</v>
      </c>
      <c r="AN42" s="618">
        <v>20211271.635224357</v>
      </c>
      <c r="AO42" s="679" t="s">
        <v>455</v>
      </c>
      <c r="AP42" s="680">
        <v>4.5653395185900472</v>
      </c>
      <c r="AQ42" s="681">
        <v>4.3739999999999997</v>
      </c>
      <c r="AR42" s="682">
        <v>4.4139999999999997</v>
      </c>
      <c r="AS42" s="683">
        <v>1</v>
      </c>
      <c r="AT42" s="527">
        <v>3</v>
      </c>
      <c r="AU42" s="527">
        <v>1</v>
      </c>
      <c r="AV42" s="674">
        <f t="shared" si="7"/>
        <v>1.6666666666666667</v>
      </c>
      <c r="AW42" s="684">
        <v>284.58330000000001</v>
      </c>
      <c r="AX42" s="572">
        <v>135.41329999999999</v>
      </c>
      <c r="AY42" s="681">
        <v>2.863</v>
      </c>
      <c r="AZ42" s="685">
        <v>1.8859999999999999</v>
      </c>
      <c r="BA42" s="716" t="s">
        <v>479</v>
      </c>
      <c r="BB42" s="40" t="s">
        <v>383</v>
      </c>
      <c r="BC42" s="22" t="s">
        <v>383</v>
      </c>
      <c r="BD42" s="22" t="s">
        <v>383</v>
      </c>
      <c r="BE42" s="687" t="s">
        <v>383</v>
      </c>
      <c r="BF42" s="238" t="s">
        <v>383</v>
      </c>
      <c r="BG42" s="40" t="s">
        <v>383</v>
      </c>
      <c r="BH42" s="22" t="s">
        <v>383</v>
      </c>
      <c r="BI42" s="22" t="s">
        <v>383</v>
      </c>
      <c r="BJ42" s="296" t="s">
        <v>383</v>
      </c>
    </row>
    <row r="43" spans="1:62" ht="30" customHeight="1" x14ac:dyDescent="0.3">
      <c r="A43" s="346" t="str">
        <f t="shared" si="0"/>
        <v>Unitil</v>
      </c>
      <c r="B43" s="66" t="s">
        <v>383</v>
      </c>
      <c r="C43" s="66" t="s">
        <v>383</v>
      </c>
      <c r="D43" s="58" t="s">
        <v>418</v>
      </c>
      <c r="E43" s="58" t="s">
        <v>418</v>
      </c>
      <c r="F43" s="58" t="s">
        <v>420</v>
      </c>
      <c r="G43" s="58" t="s">
        <v>421</v>
      </c>
      <c r="H43" s="128" t="s">
        <v>453</v>
      </c>
      <c r="I43" s="128" t="s">
        <v>454</v>
      </c>
      <c r="J43" s="526">
        <v>11.014180367362794</v>
      </c>
      <c r="K43" s="526">
        <v>45.419413380871212</v>
      </c>
      <c r="L43" s="670">
        <v>1628</v>
      </c>
      <c r="M43" s="671">
        <v>112</v>
      </c>
      <c r="N43" s="672">
        <f t="shared" si="42"/>
        <v>112</v>
      </c>
      <c r="O43" s="15">
        <v>1</v>
      </c>
      <c r="P43" s="672">
        <f t="shared" si="42"/>
        <v>1</v>
      </c>
      <c r="Q43" s="15">
        <v>1</v>
      </c>
      <c r="R43" s="672">
        <f t="shared" si="43"/>
        <v>1</v>
      </c>
      <c r="S43" s="15">
        <f t="shared" si="3"/>
        <v>114</v>
      </c>
      <c r="T43" s="672">
        <f t="shared" si="44"/>
        <v>114</v>
      </c>
      <c r="U43" s="673">
        <v>3730.5</v>
      </c>
      <c r="V43" s="674">
        <v>3443.7550000000001</v>
      </c>
      <c r="W43" s="656">
        <v>9.92</v>
      </c>
      <c r="X43" s="657">
        <v>9.92</v>
      </c>
      <c r="Y43" s="15">
        <v>9.3000000000000007</v>
      </c>
      <c r="Z43" s="10">
        <v>0</v>
      </c>
      <c r="AA43" s="675">
        <f t="shared" si="45"/>
        <v>3749.7200000000003</v>
      </c>
      <c r="AB43" s="676">
        <f t="shared" si="45"/>
        <v>3453.6750000000002</v>
      </c>
      <c r="AC43" s="564">
        <v>0.94233969986357435</v>
      </c>
      <c r="AD43" s="677">
        <v>5611116.6468000002</v>
      </c>
      <c r="AE43" s="678">
        <v>5899171.2012</v>
      </c>
      <c r="AF43" s="677">
        <v>86899.199999999997</v>
      </c>
      <c r="AG43" s="678">
        <v>86899.199999999997</v>
      </c>
      <c r="AH43" s="15">
        <v>0</v>
      </c>
      <c r="AI43" s="10">
        <v>0</v>
      </c>
      <c r="AJ43" s="690">
        <f t="shared" si="47"/>
        <v>5698015.8468000004</v>
      </c>
      <c r="AK43" s="691">
        <f t="shared" si="47"/>
        <v>5986070.4012000002</v>
      </c>
      <c r="AL43" s="611">
        <v>16907521.466840141</v>
      </c>
      <c r="AM43" s="618">
        <v>17985159.578309018</v>
      </c>
      <c r="AN43" s="618">
        <v>16781674.341435719</v>
      </c>
      <c r="AO43" s="679" t="s">
        <v>455</v>
      </c>
      <c r="AP43" s="680">
        <v>3.9518471225491498</v>
      </c>
      <c r="AQ43" s="681">
        <v>4.0999999999999996</v>
      </c>
      <c r="AR43" s="682">
        <v>3.665</v>
      </c>
      <c r="AS43" s="683">
        <v>2</v>
      </c>
      <c r="AT43" s="527">
        <v>2</v>
      </c>
      <c r="AU43" s="527">
        <v>2</v>
      </c>
      <c r="AV43" s="674">
        <f t="shared" si="7"/>
        <v>2</v>
      </c>
      <c r="AW43" s="684">
        <v>193.0933</v>
      </c>
      <c r="AX43" s="572">
        <v>96.086669999999998</v>
      </c>
      <c r="AY43" s="681">
        <v>2.1906667</v>
      </c>
      <c r="AZ43" s="685">
        <v>1.5693333</v>
      </c>
      <c r="BA43" s="716" t="s">
        <v>479</v>
      </c>
      <c r="BB43" s="40" t="s">
        <v>383</v>
      </c>
      <c r="BC43" s="22" t="s">
        <v>383</v>
      </c>
      <c r="BD43" s="22" t="s">
        <v>383</v>
      </c>
      <c r="BE43" s="687" t="s">
        <v>383</v>
      </c>
      <c r="BF43" s="238" t="s">
        <v>383</v>
      </c>
      <c r="BG43" s="40" t="s">
        <v>383</v>
      </c>
      <c r="BH43" s="22" t="s">
        <v>383</v>
      </c>
      <c r="BI43" s="22" t="s">
        <v>383</v>
      </c>
      <c r="BJ43" s="296" t="s">
        <v>383</v>
      </c>
    </row>
    <row r="44" spans="1:62" ht="30" customHeight="1" x14ac:dyDescent="0.3">
      <c r="A44" s="346" t="str">
        <f t="shared" si="0"/>
        <v>Unitil</v>
      </c>
      <c r="B44" s="66" t="s">
        <v>383</v>
      </c>
      <c r="C44" s="66" t="s">
        <v>383</v>
      </c>
      <c r="D44" s="58" t="s">
        <v>418</v>
      </c>
      <c r="E44" s="58" t="s">
        <v>418</v>
      </c>
      <c r="F44" s="496"/>
      <c r="G44" s="496"/>
      <c r="H44" s="496"/>
      <c r="I44" s="496"/>
      <c r="J44" s="692"/>
      <c r="K44" s="692"/>
      <c r="L44" s="693"/>
      <c r="M44" s="694"/>
      <c r="N44" s="497"/>
      <c r="O44" s="569"/>
      <c r="P44" s="497"/>
      <c r="Q44" s="569"/>
      <c r="R44" s="497"/>
      <c r="S44" s="569"/>
      <c r="T44" s="497"/>
      <c r="U44" s="695"/>
      <c r="V44" s="696"/>
      <c r="W44" s="697"/>
      <c r="X44" s="698"/>
      <c r="Y44" s="569"/>
      <c r="Z44" s="497"/>
      <c r="AA44" s="529"/>
      <c r="AB44" s="699"/>
      <c r="AC44" s="700"/>
      <c r="AD44" s="569"/>
      <c r="AE44" s="497"/>
      <c r="AF44" s="569"/>
      <c r="AG44" s="497"/>
      <c r="AH44" s="569"/>
      <c r="AI44" s="497"/>
      <c r="AJ44" s="569"/>
      <c r="AK44" s="497"/>
      <c r="AL44" s="701"/>
      <c r="AM44" s="702"/>
      <c r="AN44" s="702"/>
      <c r="AO44" s="497"/>
      <c r="AP44" s="703"/>
      <c r="AQ44" s="692"/>
      <c r="AR44" s="704"/>
      <c r="AS44" s="569"/>
      <c r="AT44" s="496"/>
      <c r="AU44" s="496"/>
      <c r="AV44" s="497"/>
      <c r="AW44" s="569"/>
      <c r="AX44" s="496"/>
      <c r="AY44" s="496"/>
      <c r="AZ44" s="497"/>
      <c r="BA44" s="705"/>
      <c r="BB44" s="569"/>
      <c r="BC44" s="496"/>
      <c r="BD44" s="496"/>
      <c r="BE44" s="497"/>
      <c r="BF44" s="705"/>
      <c r="BG44" s="569"/>
      <c r="BH44" s="496"/>
      <c r="BI44" s="496"/>
      <c r="BJ44" s="497"/>
    </row>
    <row r="45" spans="1:62" ht="30" customHeight="1" x14ac:dyDescent="0.3">
      <c r="A45" s="346" t="str">
        <f t="shared" si="0"/>
        <v>Unitil</v>
      </c>
      <c r="B45" s="66" t="s">
        <v>383</v>
      </c>
      <c r="C45" s="66" t="s">
        <v>383</v>
      </c>
      <c r="D45" s="58" t="s">
        <v>422</v>
      </c>
      <c r="E45" s="58" t="s">
        <v>418</v>
      </c>
      <c r="F45" s="58" t="s">
        <v>423</v>
      </c>
      <c r="G45" s="58" t="s">
        <v>424</v>
      </c>
      <c r="H45" s="128" t="s">
        <v>453</v>
      </c>
      <c r="I45" s="128" t="s">
        <v>454</v>
      </c>
      <c r="J45" s="526">
        <v>12.620415004269868</v>
      </c>
      <c r="K45" s="526">
        <v>6.1512024906352272</v>
      </c>
      <c r="L45" s="670">
        <v>1238</v>
      </c>
      <c r="M45" s="671">
        <v>33</v>
      </c>
      <c r="N45" s="672">
        <f t="shared" ref="N45:P47" si="48">M45</f>
        <v>33</v>
      </c>
      <c r="O45" s="15">
        <v>0</v>
      </c>
      <c r="P45" s="672">
        <f t="shared" si="48"/>
        <v>0</v>
      </c>
      <c r="Q45" s="15">
        <v>1</v>
      </c>
      <c r="R45" s="672">
        <f t="shared" ref="R45:R47" si="49">Q45</f>
        <v>1</v>
      </c>
      <c r="S45" s="15">
        <f t="shared" si="3"/>
        <v>34</v>
      </c>
      <c r="T45" s="672">
        <f t="shared" ref="T45:T47" si="50">S45</f>
        <v>34</v>
      </c>
      <c r="U45" s="673">
        <v>173</v>
      </c>
      <c r="V45" s="674">
        <v>115.72</v>
      </c>
      <c r="W45" s="656">
        <v>0</v>
      </c>
      <c r="X45" s="657">
        <v>0</v>
      </c>
      <c r="Y45" s="15">
        <v>9.5</v>
      </c>
      <c r="Z45" s="10">
        <v>0</v>
      </c>
      <c r="AA45" s="675">
        <f t="shared" ref="AA45:AB47" si="51">U45+W45+Y45</f>
        <v>182.5</v>
      </c>
      <c r="AB45" s="676">
        <f t="shared" si="51"/>
        <v>115.72</v>
      </c>
      <c r="AC45" s="564">
        <v>6.4539877300613502E-2</v>
      </c>
      <c r="AD45" s="677">
        <v>188549.5392</v>
      </c>
      <c r="AE45" s="678">
        <v>188549.5392</v>
      </c>
      <c r="AF45" s="677">
        <f t="shared" ref="AF45:AG47" si="52">2080*W45</f>
        <v>0</v>
      </c>
      <c r="AG45" s="678">
        <f t="shared" si="52"/>
        <v>0</v>
      </c>
      <c r="AH45" s="15">
        <v>0</v>
      </c>
      <c r="AI45" s="10">
        <v>0</v>
      </c>
      <c r="AJ45" s="690">
        <f t="shared" ref="AJ45:AK47" si="53">AD45+AF45+AH45</f>
        <v>188549.5392</v>
      </c>
      <c r="AK45" s="691">
        <f t="shared" si="53"/>
        <v>188549.5392</v>
      </c>
      <c r="AL45" s="611">
        <v>8078795.53959902</v>
      </c>
      <c r="AM45" s="618">
        <v>8457411.6260926332</v>
      </c>
      <c r="AN45" s="618">
        <v>8209970.5577610498</v>
      </c>
      <c r="AO45" s="679" t="s">
        <v>455</v>
      </c>
      <c r="AP45" s="680">
        <v>1.8882817904115903</v>
      </c>
      <c r="AQ45" s="681">
        <v>1.9279999999999999</v>
      </c>
      <c r="AR45" s="682">
        <v>1.7929999999999999</v>
      </c>
      <c r="AS45" s="683">
        <v>5</v>
      </c>
      <c r="AT45" s="527">
        <v>0</v>
      </c>
      <c r="AU45" s="527">
        <v>0</v>
      </c>
      <c r="AV45" s="674">
        <f t="shared" si="7"/>
        <v>1.6666666666666667</v>
      </c>
      <c r="AW45" s="684">
        <v>69.783330000000007</v>
      </c>
      <c r="AX45" s="572">
        <v>3.8866670000000001</v>
      </c>
      <c r="AY45" s="681">
        <v>1.0683332999999999</v>
      </c>
      <c r="AZ45" s="685">
        <v>6.83333E-2</v>
      </c>
      <c r="BA45" s="686" t="s">
        <v>490</v>
      </c>
      <c r="BB45" s="40" t="s">
        <v>383</v>
      </c>
      <c r="BC45" s="22" t="s">
        <v>383</v>
      </c>
      <c r="BD45" s="22" t="s">
        <v>383</v>
      </c>
      <c r="BE45" s="687" t="s">
        <v>383</v>
      </c>
      <c r="BF45" s="238" t="s">
        <v>383</v>
      </c>
      <c r="BG45" s="40" t="s">
        <v>383</v>
      </c>
      <c r="BH45" s="22" t="s">
        <v>383</v>
      </c>
      <c r="BI45" s="22" t="s">
        <v>383</v>
      </c>
      <c r="BJ45" s="296" t="s">
        <v>383</v>
      </c>
    </row>
    <row r="46" spans="1:62" ht="30" customHeight="1" x14ac:dyDescent="0.3">
      <c r="A46" s="346" t="str">
        <f t="shared" si="0"/>
        <v>Unitil</v>
      </c>
      <c r="B46" s="66" t="s">
        <v>383</v>
      </c>
      <c r="C46" s="66" t="s">
        <v>383</v>
      </c>
      <c r="D46" s="58" t="s">
        <v>422</v>
      </c>
      <c r="E46" s="58" t="s">
        <v>418</v>
      </c>
      <c r="F46" s="58" t="s">
        <v>425</v>
      </c>
      <c r="G46" s="58" t="s">
        <v>424</v>
      </c>
      <c r="H46" s="128" t="s">
        <v>453</v>
      </c>
      <c r="I46" s="128" t="s">
        <v>454</v>
      </c>
      <c r="J46" s="526">
        <v>11.473104549336242</v>
      </c>
      <c r="K46" s="526">
        <v>22.604423873295453</v>
      </c>
      <c r="L46" s="670">
        <v>1219</v>
      </c>
      <c r="M46" s="671">
        <v>124</v>
      </c>
      <c r="N46" s="672">
        <f t="shared" si="48"/>
        <v>124</v>
      </c>
      <c r="O46" s="15">
        <v>0</v>
      </c>
      <c r="P46" s="672">
        <f t="shared" si="48"/>
        <v>0</v>
      </c>
      <c r="Q46" s="15">
        <v>0</v>
      </c>
      <c r="R46" s="672">
        <f t="shared" si="49"/>
        <v>0</v>
      </c>
      <c r="S46" s="15">
        <f t="shared" si="3"/>
        <v>124</v>
      </c>
      <c r="T46" s="672">
        <f t="shared" si="50"/>
        <v>124</v>
      </c>
      <c r="U46" s="673">
        <v>1335.4</v>
      </c>
      <c r="V46" s="674">
        <v>1156.57</v>
      </c>
      <c r="W46" s="656">
        <v>0</v>
      </c>
      <c r="X46" s="657">
        <v>0</v>
      </c>
      <c r="Y46" s="15">
        <v>0</v>
      </c>
      <c r="Z46" s="10">
        <v>0</v>
      </c>
      <c r="AA46" s="675">
        <f t="shared" si="51"/>
        <v>1335.4</v>
      </c>
      <c r="AB46" s="676">
        <f t="shared" si="51"/>
        <v>1156.57</v>
      </c>
      <c r="AC46" s="564">
        <v>0.33601685066821613</v>
      </c>
      <c r="AD46" s="677">
        <v>1884468.8951999999</v>
      </c>
      <c r="AE46" s="678">
        <v>1884468.8951999999</v>
      </c>
      <c r="AF46" s="677">
        <f t="shared" si="52"/>
        <v>0</v>
      </c>
      <c r="AG46" s="678">
        <f t="shared" si="52"/>
        <v>0</v>
      </c>
      <c r="AH46" s="15">
        <v>0</v>
      </c>
      <c r="AI46" s="10">
        <v>0</v>
      </c>
      <c r="AJ46" s="690">
        <f t="shared" si="53"/>
        <v>1884468.8951999999</v>
      </c>
      <c r="AK46" s="691">
        <f t="shared" si="53"/>
        <v>1884468.8951999999</v>
      </c>
      <c r="AL46" s="611">
        <v>15271309.711984649</v>
      </c>
      <c r="AM46" s="618">
        <v>17160474.212279242</v>
      </c>
      <c r="AN46" s="618">
        <v>15760579.286008663</v>
      </c>
      <c r="AO46" s="679" t="s">
        <v>455</v>
      </c>
      <c r="AP46" s="680">
        <v>3.5694103042379428</v>
      </c>
      <c r="AQ46" s="681">
        <v>3.9119999999999999</v>
      </c>
      <c r="AR46" s="682">
        <v>3.4420000000000002</v>
      </c>
      <c r="AS46" s="683">
        <v>2</v>
      </c>
      <c r="AT46" s="527">
        <v>2</v>
      </c>
      <c r="AU46" s="527">
        <v>1</v>
      </c>
      <c r="AV46" s="674">
        <f t="shared" si="7"/>
        <v>1.6666666666666667</v>
      </c>
      <c r="AW46" s="684">
        <v>237.51329999999999</v>
      </c>
      <c r="AX46" s="572">
        <v>82.093329999999995</v>
      </c>
      <c r="AY46" s="681">
        <v>2.9073332999999999</v>
      </c>
      <c r="AZ46" s="685">
        <v>1.5146667</v>
      </c>
      <c r="BA46" s="716" t="s">
        <v>479</v>
      </c>
      <c r="BB46" s="40" t="s">
        <v>383</v>
      </c>
      <c r="BC46" s="22" t="s">
        <v>383</v>
      </c>
      <c r="BD46" s="22" t="s">
        <v>383</v>
      </c>
      <c r="BE46" s="687" t="s">
        <v>383</v>
      </c>
      <c r="BF46" s="238" t="s">
        <v>383</v>
      </c>
      <c r="BG46" s="40" t="s">
        <v>383</v>
      </c>
      <c r="BH46" s="22" t="s">
        <v>383</v>
      </c>
      <c r="BI46" s="22" t="s">
        <v>383</v>
      </c>
      <c r="BJ46" s="296" t="s">
        <v>383</v>
      </c>
    </row>
    <row r="47" spans="1:62" ht="30" customHeight="1" x14ac:dyDescent="0.3">
      <c r="A47" s="346" t="str">
        <f t="shared" si="0"/>
        <v>Unitil</v>
      </c>
      <c r="B47" s="66" t="s">
        <v>383</v>
      </c>
      <c r="C47" s="66" t="s">
        <v>383</v>
      </c>
      <c r="D47" s="58" t="s">
        <v>422</v>
      </c>
      <c r="E47" s="58" t="s">
        <v>418</v>
      </c>
      <c r="F47" s="58" t="s">
        <v>426</v>
      </c>
      <c r="G47" s="58" t="s">
        <v>418</v>
      </c>
      <c r="H47" s="128" t="s">
        <v>453</v>
      </c>
      <c r="I47" s="128" t="s">
        <v>454</v>
      </c>
      <c r="J47" s="526">
        <v>12.692121907703218</v>
      </c>
      <c r="K47" s="526">
        <v>18.771145720757573</v>
      </c>
      <c r="L47" s="670">
        <v>1211</v>
      </c>
      <c r="M47" s="671">
        <v>88</v>
      </c>
      <c r="N47" s="672">
        <f t="shared" si="48"/>
        <v>88</v>
      </c>
      <c r="O47" s="15">
        <v>0</v>
      </c>
      <c r="P47" s="672">
        <f t="shared" si="48"/>
        <v>0</v>
      </c>
      <c r="Q47" s="15">
        <v>0</v>
      </c>
      <c r="R47" s="672">
        <f t="shared" si="49"/>
        <v>0</v>
      </c>
      <c r="S47" s="15">
        <f t="shared" si="3"/>
        <v>88</v>
      </c>
      <c r="T47" s="672">
        <f t="shared" si="50"/>
        <v>88</v>
      </c>
      <c r="U47" s="673">
        <v>1882.5</v>
      </c>
      <c r="V47" s="674">
        <v>1464.605</v>
      </c>
      <c r="W47" s="656">
        <v>0</v>
      </c>
      <c r="X47" s="657">
        <v>0</v>
      </c>
      <c r="Y47" s="15">
        <v>0</v>
      </c>
      <c r="Z47" s="10">
        <v>0</v>
      </c>
      <c r="AA47" s="675">
        <f t="shared" si="51"/>
        <v>1882.5</v>
      </c>
      <c r="AB47" s="676">
        <f t="shared" si="51"/>
        <v>1464.605</v>
      </c>
      <c r="AC47" s="564">
        <v>0.61076105087572974</v>
      </c>
      <c r="AD47" s="677">
        <v>2386368.8028000002</v>
      </c>
      <c r="AE47" s="678">
        <v>2386368.8028000002</v>
      </c>
      <c r="AF47" s="677">
        <f t="shared" si="52"/>
        <v>0</v>
      </c>
      <c r="AG47" s="678">
        <f t="shared" si="52"/>
        <v>0</v>
      </c>
      <c r="AH47" s="15">
        <v>0</v>
      </c>
      <c r="AI47" s="10">
        <v>0</v>
      </c>
      <c r="AJ47" s="690">
        <f t="shared" si="53"/>
        <v>2386368.8028000002</v>
      </c>
      <c r="AK47" s="691">
        <f t="shared" si="53"/>
        <v>2386368.8028000002</v>
      </c>
      <c r="AL47" s="611">
        <v>14214589.620307138</v>
      </c>
      <c r="AM47" s="618">
        <v>12282548.004698845</v>
      </c>
      <c r="AN47" s="618">
        <v>10980206.022036251</v>
      </c>
      <c r="AO47" s="679" t="s">
        <v>455</v>
      </c>
      <c r="AP47" s="680">
        <v>3.3224198590786207</v>
      </c>
      <c r="AQ47" s="681">
        <v>2.8</v>
      </c>
      <c r="AR47" s="682">
        <v>2.3980000000000001</v>
      </c>
      <c r="AS47" s="683">
        <v>1</v>
      </c>
      <c r="AT47" s="527">
        <v>1</v>
      </c>
      <c r="AU47" s="527">
        <v>2</v>
      </c>
      <c r="AV47" s="674">
        <f t="shared" si="7"/>
        <v>1.3333333333333333</v>
      </c>
      <c r="AW47" s="684">
        <v>215.18</v>
      </c>
      <c r="AX47" s="572">
        <v>40.28</v>
      </c>
      <c r="AY47" s="681">
        <v>2.0716667000000002</v>
      </c>
      <c r="AZ47" s="685">
        <v>0.65666670000000005</v>
      </c>
      <c r="BA47" s="716" t="s">
        <v>492</v>
      </c>
      <c r="BB47" s="40" t="s">
        <v>383</v>
      </c>
      <c r="BC47" s="22" t="s">
        <v>383</v>
      </c>
      <c r="BD47" s="22" t="s">
        <v>383</v>
      </c>
      <c r="BE47" s="687" t="s">
        <v>383</v>
      </c>
      <c r="BF47" s="238" t="s">
        <v>383</v>
      </c>
      <c r="BG47" s="40" t="s">
        <v>383</v>
      </c>
      <c r="BH47" s="22" t="s">
        <v>383</v>
      </c>
      <c r="BI47" s="22" t="s">
        <v>383</v>
      </c>
      <c r="BJ47" s="296" t="s">
        <v>383</v>
      </c>
    </row>
    <row r="48" spans="1:62" ht="30" customHeight="1" x14ac:dyDescent="0.3">
      <c r="A48" s="346" t="str">
        <f t="shared" si="0"/>
        <v>Unitil</v>
      </c>
      <c r="B48" s="66" t="s">
        <v>383</v>
      </c>
      <c r="C48" s="66" t="s">
        <v>383</v>
      </c>
      <c r="D48" s="58" t="s">
        <v>422</v>
      </c>
      <c r="E48" s="58" t="s">
        <v>418</v>
      </c>
      <c r="F48" s="496"/>
      <c r="G48" s="496"/>
      <c r="H48" s="496"/>
      <c r="I48" s="496"/>
      <c r="J48" s="692"/>
      <c r="K48" s="692"/>
      <c r="L48" s="693"/>
      <c r="M48" s="694"/>
      <c r="N48" s="497"/>
      <c r="O48" s="569"/>
      <c r="P48" s="497"/>
      <c r="Q48" s="569"/>
      <c r="R48" s="497"/>
      <c r="S48" s="569"/>
      <c r="T48" s="497"/>
      <c r="U48" s="695"/>
      <c r="V48" s="696"/>
      <c r="W48" s="697"/>
      <c r="X48" s="698"/>
      <c r="Y48" s="569"/>
      <c r="Z48" s="497"/>
      <c r="AA48" s="529"/>
      <c r="AB48" s="699"/>
      <c r="AC48" s="700"/>
      <c r="AD48" s="569"/>
      <c r="AE48" s="497"/>
      <c r="AF48" s="569"/>
      <c r="AG48" s="497"/>
      <c r="AH48" s="569"/>
      <c r="AI48" s="497"/>
      <c r="AJ48" s="569"/>
      <c r="AK48" s="497"/>
      <c r="AL48" s="701"/>
      <c r="AM48" s="702"/>
      <c r="AN48" s="702"/>
      <c r="AO48" s="497"/>
      <c r="AP48" s="703"/>
      <c r="AQ48" s="692"/>
      <c r="AR48" s="704"/>
      <c r="AS48" s="569"/>
      <c r="AT48" s="496"/>
      <c r="AU48" s="496"/>
      <c r="AV48" s="497"/>
      <c r="AW48" s="569"/>
      <c r="AX48" s="496"/>
      <c r="AY48" s="496"/>
      <c r="AZ48" s="497"/>
      <c r="BA48" s="705"/>
      <c r="BB48" s="569"/>
      <c r="BC48" s="496"/>
      <c r="BD48" s="496"/>
      <c r="BE48" s="497"/>
      <c r="BF48" s="705"/>
      <c r="BG48" s="569"/>
      <c r="BH48" s="496"/>
      <c r="BI48" s="496"/>
      <c r="BJ48" s="497"/>
    </row>
    <row r="49" spans="1:62" ht="30" customHeight="1" x14ac:dyDescent="0.3">
      <c r="A49" s="346" t="str">
        <f>$H$1</f>
        <v>Unitil</v>
      </c>
      <c r="B49" s="66" t="s">
        <v>383</v>
      </c>
      <c r="C49" s="66" t="s">
        <v>383</v>
      </c>
      <c r="D49" s="58" t="s">
        <v>427</v>
      </c>
      <c r="E49" s="58" t="s">
        <v>385</v>
      </c>
      <c r="F49" s="58" t="s">
        <v>428</v>
      </c>
      <c r="G49" s="58" t="s">
        <v>429</v>
      </c>
      <c r="H49" s="128" t="s">
        <v>453</v>
      </c>
      <c r="I49" s="128" t="s">
        <v>454</v>
      </c>
      <c r="J49" s="526">
        <v>7.6487363662241616</v>
      </c>
      <c r="K49" s="526">
        <v>23.270739144829548</v>
      </c>
      <c r="L49" s="670">
        <v>760</v>
      </c>
      <c r="M49" s="671">
        <v>93</v>
      </c>
      <c r="N49" s="672">
        <f>M49</f>
        <v>93</v>
      </c>
      <c r="O49" s="15">
        <v>0</v>
      </c>
      <c r="P49" s="672">
        <f>O49</f>
        <v>0</v>
      </c>
      <c r="Q49" s="15">
        <v>0</v>
      </c>
      <c r="R49" s="672">
        <f>Q49</f>
        <v>0</v>
      </c>
      <c r="S49" s="15">
        <f t="shared" si="3"/>
        <v>93</v>
      </c>
      <c r="T49" s="672">
        <f>S49</f>
        <v>93</v>
      </c>
      <c r="U49" s="673">
        <v>2435</v>
      </c>
      <c r="V49" s="674">
        <v>521.57500000000005</v>
      </c>
      <c r="W49" s="656">
        <v>0</v>
      </c>
      <c r="X49" s="657">
        <v>0</v>
      </c>
      <c r="Y49" s="15">
        <v>0</v>
      </c>
      <c r="Z49" s="10">
        <v>0</v>
      </c>
      <c r="AA49" s="675">
        <f>U49+W49+Y49</f>
        <v>2435</v>
      </c>
      <c r="AB49" s="676">
        <f>V49+X49+Z49</f>
        <v>521.57500000000005</v>
      </c>
      <c r="AC49" s="564">
        <v>0.20022072936660271</v>
      </c>
      <c r="AD49" s="677">
        <v>849833.44200000004</v>
      </c>
      <c r="AE49" s="678">
        <v>849833.44200000004</v>
      </c>
      <c r="AF49" s="677">
        <f>2080*W49</f>
        <v>0</v>
      </c>
      <c r="AG49" s="678">
        <f>2080*X49</f>
        <v>0</v>
      </c>
      <c r="AH49" s="15">
        <v>0</v>
      </c>
      <c r="AI49" s="10">
        <v>0</v>
      </c>
      <c r="AJ49" s="690">
        <f>AD49+AF49+AH49</f>
        <v>849833.44200000004</v>
      </c>
      <c r="AK49" s="691">
        <f>AE49+AG49+AI49</f>
        <v>849833.44200000004</v>
      </c>
      <c r="AL49" s="611">
        <v>12919255.314379867</v>
      </c>
      <c r="AM49" s="618">
        <v>11220984.927149873</v>
      </c>
      <c r="AN49" s="618">
        <v>11928038.651961816</v>
      </c>
      <c r="AO49" s="679" t="s">
        <v>455</v>
      </c>
      <c r="AP49" s="680">
        <v>3.0196573779155806</v>
      </c>
      <c r="AQ49" s="681">
        <v>2.5579999999999998</v>
      </c>
      <c r="AR49" s="682">
        <v>2.605</v>
      </c>
      <c r="AS49" s="683">
        <v>1</v>
      </c>
      <c r="AT49" s="527">
        <v>4</v>
      </c>
      <c r="AU49" s="527">
        <v>0</v>
      </c>
      <c r="AV49" s="674">
        <f t="shared" si="7"/>
        <v>1.6666666666666667</v>
      </c>
      <c r="AW49" s="684">
        <v>189.72329999999999</v>
      </c>
      <c r="AX49" s="572">
        <v>41.366669999999999</v>
      </c>
      <c r="AY49" s="681">
        <v>1.538</v>
      </c>
      <c r="AZ49" s="685">
        <v>0.65766670000000005</v>
      </c>
      <c r="BA49" s="716" t="s">
        <v>493</v>
      </c>
      <c r="BB49" s="40" t="s">
        <v>383</v>
      </c>
      <c r="BC49" s="22" t="s">
        <v>383</v>
      </c>
      <c r="BD49" s="22" t="s">
        <v>383</v>
      </c>
      <c r="BE49" s="687" t="s">
        <v>383</v>
      </c>
      <c r="BF49" s="238" t="s">
        <v>383</v>
      </c>
      <c r="BG49" s="40" t="s">
        <v>383</v>
      </c>
      <c r="BH49" s="22" t="s">
        <v>383</v>
      </c>
      <c r="BI49" s="22" t="s">
        <v>383</v>
      </c>
      <c r="BJ49" s="296" t="s">
        <v>383</v>
      </c>
    </row>
    <row r="50" spans="1:62" ht="30" customHeight="1" x14ac:dyDescent="0.3">
      <c r="A50" s="346" t="str">
        <f t="shared" ref="A50:A66" si="54">$H$1</f>
        <v>Unitil</v>
      </c>
      <c r="B50" s="66" t="s">
        <v>383</v>
      </c>
      <c r="C50" s="66" t="s">
        <v>383</v>
      </c>
      <c r="D50" s="58" t="s">
        <v>427</v>
      </c>
      <c r="E50" s="58" t="s">
        <v>385</v>
      </c>
      <c r="F50" s="496"/>
      <c r="G50" s="496"/>
      <c r="H50" s="496"/>
      <c r="I50" s="496"/>
      <c r="J50" s="692"/>
      <c r="K50" s="692"/>
      <c r="L50" s="693"/>
      <c r="M50" s="694"/>
      <c r="N50" s="497"/>
      <c r="O50" s="569"/>
      <c r="P50" s="497"/>
      <c r="Q50" s="569"/>
      <c r="R50" s="497"/>
      <c r="S50" s="569"/>
      <c r="T50" s="497"/>
      <c r="U50" s="695"/>
      <c r="V50" s="696"/>
      <c r="W50" s="697"/>
      <c r="X50" s="698"/>
      <c r="Y50" s="569"/>
      <c r="Z50" s="497"/>
      <c r="AA50" s="529"/>
      <c r="AB50" s="699"/>
      <c r="AC50" s="700"/>
      <c r="AD50" s="569"/>
      <c r="AE50" s="497"/>
      <c r="AF50" s="569"/>
      <c r="AG50" s="497"/>
      <c r="AH50" s="569"/>
      <c r="AI50" s="497"/>
      <c r="AJ50" s="569"/>
      <c r="AK50" s="497"/>
      <c r="AL50" s="701"/>
      <c r="AM50" s="702"/>
      <c r="AN50" s="702"/>
      <c r="AO50" s="497"/>
      <c r="AP50" s="703"/>
      <c r="AQ50" s="692"/>
      <c r="AR50" s="704"/>
      <c r="AS50" s="569"/>
      <c r="AT50" s="496"/>
      <c r="AU50" s="496"/>
      <c r="AV50" s="497"/>
      <c r="AW50" s="569"/>
      <c r="AX50" s="496"/>
      <c r="AY50" s="496"/>
      <c r="AZ50" s="497"/>
      <c r="BA50" s="705"/>
      <c r="BB50" s="569"/>
      <c r="BC50" s="496"/>
      <c r="BD50" s="496"/>
      <c r="BE50" s="497"/>
      <c r="BF50" s="705"/>
      <c r="BG50" s="569"/>
      <c r="BH50" s="496"/>
      <c r="BI50" s="496"/>
      <c r="BJ50" s="497"/>
    </row>
    <row r="51" spans="1:62" ht="30" customHeight="1" x14ac:dyDescent="0.3">
      <c r="A51" s="346" t="str">
        <f t="shared" si="54"/>
        <v>Unitil</v>
      </c>
      <c r="B51" s="66" t="s">
        <v>383</v>
      </c>
      <c r="C51" s="66" t="s">
        <v>383</v>
      </c>
      <c r="D51" s="58" t="s">
        <v>430</v>
      </c>
      <c r="E51" s="58" t="s">
        <v>395</v>
      </c>
      <c r="F51" s="58" t="s">
        <v>431</v>
      </c>
      <c r="G51" s="58" t="s">
        <v>399</v>
      </c>
      <c r="H51" s="128" t="s">
        <v>453</v>
      </c>
      <c r="I51" s="128" t="s">
        <v>454</v>
      </c>
      <c r="J51" s="526">
        <v>12.692121907703218</v>
      </c>
      <c r="K51" s="526">
        <v>51.220298387973479</v>
      </c>
      <c r="L51" s="670">
        <v>1957</v>
      </c>
      <c r="M51" s="671">
        <v>135</v>
      </c>
      <c r="N51" s="672">
        <f t="shared" ref="N51:P52" si="55">M51</f>
        <v>135</v>
      </c>
      <c r="O51" s="15">
        <v>0</v>
      </c>
      <c r="P51" s="672">
        <f t="shared" si="55"/>
        <v>0</v>
      </c>
      <c r="Q51" s="15">
        <v>0</v>
      </c>
      <c r="R51" s="672">
        <f t="shared" ref="R51:R52" si="56">Q51</f>
        <v>0</v>
      </c>
      <c r="S51" s="15">
        <f t="shared" si="3"/>
        <v>135</v>
      </c>
      <c r="T51" s="672">
        <f t="shared" ref="T51:T52" si="57">S51</f>
        <v>135</v>
      </c>
      <c r="U51" s="673">
        <v>965.9</v>
      </c>
      <c r="V51" s="674">
        <v>697.80499999999995</v>
      </c>
      <c r="W51" s="656">
        <v>0</v>
      </c>
      <c r="X51" s="657">
        <v>0</v>
      </c>
      <c r="Y51" s="15">
        <v>0</v>
      </c>
      <c r="Z51" s="10">
        <v>0</v>
      </c>
      <c r="AA51" s="675">
        <f>U51+W51+Y51</f>
        <v>965.9</v>
      </c>
      <c r="AB51" s="676">
        <f>V51+X51+Z51</f>
        <v>697.80499999999995</v>
      </c>
      <c r="AC51" s="564">
        <v>0.17174624661580112</v>
      </c>
      <c r="AD51" s="677">
        <v>1136975.5548</v>
      </c>
      <c r="AE51" s="678">
        <v>1136975.5548</v>
      </c>
      <c r="AF51" s="677">
        <f t="shared" ref="AF51:AG52" si="58">2080*W51</f>
        <v>0</v>
      </c>
      <c r="AG51" s="678">
        <f t="shared" si="58"/>
        <v>0</v>
      </c>
      <c r="AH51" s="15">
        <v>0</v>
      </c>
      <c r="AI51" s="10">
        <v>0</v>
      </c>
      <c r="AJ51" s="690">
        <f t="shared" ref="AJ51:AK52" si="59">AD51+AF51+AH51</f>
        <v>1136975.5548</v>
      </c>
      <c r="AK51" s="691">
        <f t="shared" si="59"/>
        <v>1136975.5548</v>
      </c>
      <c r="AL51" s="611">
        <v>19123224.884873629</v>
      </c>
      <c r="AM51" s="618">
        <v>19538024.576045945</v>
      </c>
      <c r="AN51" s="618">
        <v>18604077.175785355</v>
      </c>
      <c r="AO51" s="679" t="s">
        <v>455</v>
      </c>
      <c r="AP51" s="680">
        <v>4.4697303140122449</v>
      </c>
      <c r="AQ51" s="681">
        <v>4.4539999999999997</v>
      </c>
      <c r="AR51" s="682">
        <v>4.0629999999999997</v>
      </c>
      <c r="AS51" s="683">
        <v>2</v>
      </c>
      <c r="AT51" s="527">
        <v>1</v>
      </c>
      <c r="AU51" s="527">
        <v>6</v>
      </c>
      <c r="AV51" s="674">
        <f t="shared" si="7"/>
        <v>3</v>
      </c>
      <c r="AW51" s="684">
        <v>229.23670000000001</v>
      </c>
      <c r="AX51" s="572">
        <v>68.933329999999998</v>
      </c>
      <c r="AY51" s="681">
        <v>2.2406666999999998</v>
      </c>
      <c r="AZ51" s="685">
        <v>0.86133329999999997</v>
      </c>
      <c r="BA51" s="716" t="s">
        <v>492</v>
      </c>
      <c r="BB51" s="40" t="s">
        <v>383</v>
      </c>
      <c r="BC51" s="22" t="s">
        <v>383</v>
      </c>
      <c r="BD51" s="22" t="s">
        <v>383</v>
      </c>
      <c r="BE51" s="687" t="s">
        <v>383</v>
      </c>
      <c r="BF51" s="238" t="s">
        <v>383</v>
      </c>
      <c r="BG51" s="40" t="s">
        <v>383</v>
      </c>
      <c r="BH51" s="22" t="s">
        <v>383</v>
      </c>
      <c r="BI51" s="22" t="s">
        <v>383</v>
      </c>
      <c r="BJ51" s="296" t="s">
        <v>383</v>
      </c>
    </row>
    <row r="52" spans="1:62" ht="30" customHeight="1" x14ac:dyDescent="0.3">
      <c r="A52" s="346" t="str">
        <f t="shared" si="54"/>
        <v>Unitil</v>
      </c>
      <c r="B52" s="66" t="s">
        <v>383</v>
      </c>
      <c r="C52" s="66" t="s">
        <v>383</v>
      </c>
      <c r="D52" s="58" t="s">
        <v>430</v>
      </c>
      <c r="E52" s="58" t="s">
        <v>395</v>
      </c>
      <c r="F52" s="58" t="s">
        <v>432</v>
      </c>
      <c r="G52" s="58" t="s">
        <v>433</v>
      </c>
      <c r="H52" s="128" t="s">
        <v>453</v>
      </c>
      <c r="I52" s="128" t="s">
        <v>454</v>
      </c>
      <c r="J52" s="526">
        <v>8.2609999999999992</v>
      </c>
      <c r="K52" s="526">
        <v>61.902301144772728</v>
      </c>
      <c r="L52" s="670">
        <v>1291</v>
      </c>
      <c r="M52" s="671">
        <v>167</v>
      </c>
      <c r="N52" s="672">
        <f t="shared" si="55"/>
        <v>167</v>
      </c>
      <c r="O52" s="15">
        <v>0</v>
      </c>
      <c r="P52" s="672">
        <f t="shared" si="55"/>
        <v>0</v>
      </c>
      <c r="Q52" s="15">
        <v>0</v>
      </c>
      <c r="R52" s="672">
        <f t="shared" si="56"/>
        <v>0</v>
      </c>
      <c r="S52" s="15">
        <f t="shared" si="3"/>
        <v>167</v>
      </c>
      <c r="T52" s="672">
        <f t="shared" si="57"/>
        <v>167</v>
      </c>
      <c r="U52" s="673">
        <v>3193.8</v>
      </c>
      <c r="V52" s="674">
        <v>2854.6350000000002</v>
      </c>
      <c r="W52" s="656">
        <v>0</v>
      </c>
      <c r="X52" s="657">
        <v>0</v>
      </c>
      <c r="Y52" s="15">
        <v>0</v>
      </c>
      <c r="Z52" s="10">
        <v>0</v>
      </c>
      <c r="AA52" s="675">
        <f>U52+W52+Y52</f>
        <v>3193.8</v>
      </c>
      <c r="AB52" s="676">
        <f>V52+X52+Z52</f>
        <v>2854.6350000000002</v>
      </c>
      <c r="AC52" s="564">
        <v>1.1944079497907951</v>
      </c>
      <c r="AD52" s="677">
        <v>4651228.0836000005</v>
      </c>
      <c r="AE52" s="678">
        <v>4651228.0836000005</v>
      </c>
      <c r="AF52" s="677">
        <f t="shared" si="58"/>
        <v>0</v>
      </c>
      <c r="AG52" s="678">
        <f t="shared" si="58"/>
        <v>0</v>
      </c>
      <c r="AH52" s="15">
        <v>0</v>
      </c>
      <c r="AI52" s="10">
        <v>0</v>
      </c>
      <c r="AJ52" s="690">
        <f t="shared" si="59"/>
        <v>4651228.0836000005</v>
      </c>
      <c r="AK52" s="691">
        <f t="shared" si="59"/>
        <v>4651228.0836000005</v>
      </c>
      <c r="AL52" s="611">
        <v>10464937.682096623</v>
      </c>
      <c r="AM52" s="618">
        <v>11080612.949953314</v>
      </c>
      <c r="AN52" s="618">
        <v>10943574.809285503</v>
      </c>
      <c r="AO52" s="679" t="s">
        <v>455</v>
      </c>
      <c r="AP52" s="680">
        <v>2.446002150448769</v>
      </c>
      <c r="AQ52" s="681">
        <v>2.5259999999999998</v>
      </c>
      <c r="AR52" s="682">
        <v>2.39</v>
      </c>
      <c r="AS52" s="683">
        <v>4</v>
      </c>
      <c r="AT52" s="527">
        <v>4</v>
      </c>
      <c r="AU52" s="527">
        <v>2</v>
      </c>
      <c r="AV52" s="674">
        <f t="shared" si="7"/>
        <v>3.3333333333333335</v>
      </c>
      <c r="AW52" s="684">
        <v>414.60669999999999</v>
      </c>
      <c r="AX52" s="572">
        <v>99.37</v>
      </c>
      <c r="AY52" s="681">
        <v>2.9220000000000002</v>
      </c>
      <c r="AZ52" s="685">
        <v>1.3366667000000001</v>
      </c>
      <c r="BA52" s="716" t="s">
        <v>492</v>
      </c>
      <c r="BB52" s="40" t="s">
        <v>383</v>
      </c>
      <c r="BC52" s="22" t="s">
        <v>383</v>
      </c>
      <c r="BD52" s="22" t="s">
        <v>383</v>
      </c>
      <c r="BE52" s="687" t="s">
        <v>383</v>
      </c>
      <c r="BF52" s="238" t="s">
        <v>383</v>
      </c>
      <c r="BG52" s="40" t="s">
        <v>383</v>
      </c>
      <c r="BH52" s="22" t="s">
        <v>383</v>
      </c>
      <c r="BI52" s="22" t="s">
        <v>383</v>
      </c>
      <c r="BJ52" s="296" t="s">
        <v>383</v>
      </c>
    </row>
    <row r="53" spans="1:62" ht="30" customHeight="1" x14ac:dyDescent="0.3">
      <c r="A53" s="346" t="str">
        <f t="shared" si="54"/>
        <v>Unitil</v>
      </c>
      <c r="B53" s="66" t="s">
        <v>383</v>
      </c>
      <c r="C53" s="66" t="s">
        <v>383</v>
      </c>
      <c r="D53" s="58" t="s">
        <v>430</v>
      </c>
      <c r="E53" s="58" t="s">
        <v>395</v>
      </c>
      <c r="F53" s="496"/>
      <c r="G53" s="496"/>
      <c r="H53" s="496"/>
      <c r="I53" s="496"/>
      <c r="J53" s="692"/>
      <c r="K53" s="692"/>
      <c r="L53" s="693"/>
      <c r="M53" s="694"/>
      <c r="N53" s="497"/>
      <c r="O53" s="569"/>
      <c r="P53" s="497"/>
      <c r="Q53" s="569"/>
      <c r="R53" s="497"/>
      <c r="S53" s="569"/>
      <c r="T53" s="497"/>
      <c r="U53" s="695"/>
      <c r="V53" s="696"/>
      <c r="W53" s="697"/>
      <c r="X53" s="698"/>
      <c r="Y53" s="569"/>
      <c r="Z53" s="497"/>
      <c r="AA53" s="529"/>
      <c r="AB53" s="699"/>
      <c r="AC53" s="700"/>
      <c r="AD53" s="569"/>
      <c r="AE53" s="497"/>
      <c r="AF53" s="569"/>
      <c r="AG53" s="497"/>
      <c r="AH53" s="569"/>
      <c r="AI53" s="497"/>
      <c r="AJ53" s="569"/>
      <c r="AK53" s="497"/>
      <c r="AL53" s="701"/>
      <c r="AM53" s="702"/>
      <c r="AN53" s="702"/>
      <c r="AO53" s="497"/>
      <c r="AP53" s="703"/>
      <c r="AQ53" s="692"/>
      <c r="AR53" s="704"/>
      <c r="AS53" s="569"/>
      <c r="AT53" s="496"/>
      <c r="AU53" s="496"/>
      <c r="AV53" s="497"/>
      <c r="AW53" s="569"/>
      <c r="AX53" s="496"/>
      <c r="AY53" s="496"/>
      <c r="AZ53" s="497"/>
      <c r="BA53" s="705"/>
      <c r="BB53" s="569"/>
      <c r="BC53" s="496"/>
      <c r="BD53" s="496"/>
      <c r="BE53" s="497"/>
      <c r="BF53" s="705"/>
      <c r="BG53" s="569"/>
      <c r="BH53" s="496"/>
      <c r="BI53" s="496"/>
      <c r="BJ53" s="497"/>
    </row>
    <row r="54" spans="1:62" ht="30" customHeight="1" x14ac:dyDescent="0.3">
      <c r="A54" s="346" t="str">
        <f t="shared" si="54"/>
        <v>Unitil</v>
      </c>
      <c r="B54" s="66" t="s">
        <v>383</v>
      </c>
      <c r="C54" s="66" t="s">
        <v>383</v>
      </c>
      <c r="D54" s="58" t="s">
        <v>434</v>
      </c>
      <c r="E54" s="58" t="s">
        <v>385</v>
      </c>
      <c r="F54" s="58" t="s">
        <v>435</v>
      </c>
      <c r="G54" s="58" t="s">
        <v>385</v>
      </c>
      <c r="H54" s="128" t="s">
        <v>453</v>
      </c>
      <c r="I54" s="128" t="s">
        <v>454</v>
      </c>
      <c r="J54" s="526">
        <v>7.6726386673686129</v>
      </c>
      <c r="K54" s="526">
        <v>0.60675217687310601</v>
      </c>
      <c r="L54" s="670">
        <v>4</v>
      </c>
      <c r="M54" s="18">
        <v>0</v>
      </c>
      <c r="N54" s="10">
        <f t="shared" ref="N54:P59" si="60">M54</f>
        <v>0</v>
      </c>
      <c r="O54" s="15">
        <v>1</v>
      </c>
      <c r="P54" s="10">
        <f t="shared" si="60"/>
        <v>1</v>
      </c>
      <c r="Q54" s="15">
        <v>0</v>
      </c>
      <c r="R54" s="10">
        <f t="shared" ref="R54:R59" si="61">Q54</f>
        <v>0</v>
      </c>
      <c r="S54" s="15">
        <f t="shared" si="3"/>
        <v>1</v>
      </c>
      <c r="T54" s="10">
        <f t="shared" ref="T54:T59" si="62">S54</f>
        <v>1</v>
      </c>
      <c r="U54" s="688"/>
      <c r="V54" s="689"/>
      <c r="W54" s="656">
        <v>1800</v>
      </c>
      <c r="X54" s="657">
        <v>1800</v>
      </c>
      <c r="Y54" s="15">
        <v>0</v>
      </c>
      <c r="Z54" s="10">
        <v>0</v>
      </c>
      <c r="AA54" s="675">
        <f t="shared" ref="AA54:AB59" si="63">U54+W54+Y54</f>
        <v>1800</v>
      </c>
      <c r="AB54" s="676">
        <f t="shared" si="63"/>
        <v>1800</v>
      </c>
      <c r="AC54" s="564">
        <v>0.81818181818181823</v>
      </c>
      <c r="AD54" s="677">
        <v>0</v>
      </c>
      <c r="AE54" s="678">
        <v>0</v>
      </c>
      <c r="AF54" s="677">
        <v>15768000</v>
      </c>
      <c r="AG54" s="678">
        <v>15768000</v>
      </c>
      <c r="AH54" s="15">
        <v>0</v>
      </c>
      <c r="AI54" s="10">
        <v>0</v>
      </c>
      <c r="AJ54" s="690">
        <f t="shared" ref="AJ54:AK58" si="64">AD54+AF54+AH54</f>
        <v>15768000</v>
      </c>
      <c r="AK54" s="691">
        <f t="shared" si="64"/>
        <v>15768000</v>
      </c>
      <c r="AL54" s="611">
        <v>7431128.3866353864</v>
      </c>
      <c r="AM54" s="618">
        <v>9650573.4322633781</v>
      </c>
      <c r="AN54" s="618">
        <v>10073583.506455276</v>
      </c>
      <c r="AO54" s="679" t="s">
        <v>455</v>
      </c>
      <c r="AP54" s="680">
        <v>1.7369005498300703</v>
      </c>
      <c r="AQ54" s="681">
        <v>2.2000000000000002</v>
      </c>
      <c r="AR54" s="682">
        <v>2.2000000000000002</v>
      </c>
      <c r="AS54" s="683">
        <v>0</v>
      </c>
      <c r="AT54" s="527">
        <v>0</v>
      </c>
      <c r="AU54" s="527">
        <v>0</v>
      </c>
      <c r="AV54" s="674">
        <f t="shared" si="7"/>
        <v>0</v>
      </c>
      <c r="AW54" s="684">
        <v>115.58329999999999</v>
      </c>
      <c r="AX54" s="572">
        <v>66.25</v>
      </c>
      <c r="AY54" s="681">
        <v>1.0833333000000001</v>
      </c>
      <c r="AZ54" s="685">
        <v>0.75</v>
      </c>
      <c r="BA54" s="686" t="s">
        <v>494</v>
      </c>
      <c r="BB54" s="40" t="s">
        <v>383</v>
      </c>
      <c r="BC54" s="22" t="s">
        <v>383</v>
      </c>
      <c r="BD54" s="22" t="s">
        <v>383</v>
      </c>
      <c r="BE54" s="687" t="s">
        <v>383</v>
      </c>
      <c r="BF54" s="238" t="s">
        <v>383</v>
      </c>
      <c r="BG54" s="40" t="s">
        <v>383</v>
      </c>
      <c r="BH54" s="22" t="s">
        <v>383</v>
      </c>
      <c r="BI54" s="22" t="s">
        <v>383</v>
      </c>
      <c r="BJ54" s="296" t="s">
        <v>383</v>
      </c>
    </row>
    <row r="55" spans="1:62" ht="30" customHeight="1" x14ac:dyDescent="0.3">
      <c r="A55" s="346" t="str">
        <f t="shared" si="54"/>
        <v>Unitil</v>
      </c>
      <c r="B55" s="66" t="s">
        <v>383</v>
      </c>
      <c r="C55" s="66" t="s">
        <v>383</v>
      </c>
      <c r="D55" s="58" t="s">
        <v>434</v>
      </c>
      <c r="E55" s="58" t="s">
        <v>385</v>
      </c>
      <c r="F55" s="58" t="s">
        <v>436</v>
      </c>
      <c r="G55" s="58" t="s">
        <v>385</v>
      </c>
      <c r="H55" s="128" t="s">
        <v>453</v>
      </c>
      <c r="I55" s="128" t="s">
        <v>454</v>
      </c>
      <c r="J55" s="526">
        <v>9.5609204577802025</v>
      </c>
      <c r="K55" s="526">
        <v>7.9157422869545453</v>
      </c>
      <c r="L55" s="670">
        <v>423</v>
      </c>
      <c r="M55" s="671">
        <v>4</v>
      </c>
      <c r="N55" s="672">
        <f t="shared" si="60"/>
        <v>4</v>
      </c>
      <c r="O55" s="15">
        <v>0</v>
      </c>
      <c r="P55" s="672">
        <f t="shared" si="60"/>
        <v>0</v>
      </c>
      <c r="Q55" s="15">
        <v>0</v>
      </c>
      <c r="R55" s="672">
        <f t="shared" si="61"/>
        <v>0</v>
      </c>
      <c r="S55" s="15">
        <f t="shared" si="3"/>
        <v>4</v>
      </c>
      <c r="T55" s="672">
        <f t="shared" si="62"/>
        <v>4</v>
      </c>
      <c r="U55" s="673">
        <v>1023.6</v>
      </c>
      <c r="V55" s="674">
        <v>1017</v>
      </c>
      <c r="W55" s="656">
        <v>0</v>
      </c>
      <c r="X55" s="657">
        <v>0</v>
      </c>
      <c r="Y55" s="15">
        <v>0</v>
      </c>
      <c r="Z55" s="10">
        <v>0</v>
      </c>
      <c r="AA55" s="675">
        <f t="shared" si="63"/>
        <v>1023.6</v>
      </c>
      <c r="AB55" s="676">
        <f t="shared" si="63"/>
        <v>1017</v>
      </c>
      <c r="AC55" s="564">
        <v>0.33900000000000002</v>
      </c>
      <c r="AD55" s="677">
        <v>1657059.12</v>
      </c>
      <c r="AE55" s="678">
        <v>1657059.12</v>
      </c>
      <c r="AF55" s="677">
        <v>0</v>
      </c>
      <c r="AG55" s="678">
        <v>0</v>
      </c>
      <c r="AH55" s="15">
        <v>0</v>
      </c>
      <c r="AI55" s="10">
        <v>0</v>
      </c>
      <c r="AJ55" s="690">
        <f t="shared" si="64"/>
        <v>1657059.12</v>
      </c>
      <c r="AK55" s="691">
        <f t="shared" si="64"/>
        <v>1657059.12</v>
      </c>
      <c r="AL55" s="611">
        <v>11385306.79420284</v>
      </c>
      <c r="AM55" s="618">
        <v>13159872.862177333</v>
      </c>
      <c r="AN55" s="618">
        <v>13736704.781529922</v>
      </c>
      <c r="AO55" s="679" t="s">
        <v>455</v>
      </c>
      <c r="AP55" s="680">
        <v>2.6611228607488231</v>
      </c>
      <c r="AQ55" s="681">
        <v>3</v>
      </c>
      <c r="AR55" s="682">
        <v>3</v>
      </c>
      <c r="AS55" s="683">
        <v>1</v>
      </c>
      <c r="AT55" s="527">
        <v>0</v>
      </c>
      <c r="AU55" s="527">
        <v>1</v>
      </c>
      <c r="AV55" s="674">
        <f t="shared" si="7"/>
        <v>0.66666666666666663</v>
      </c>
      <c r="AW55" s="684">
        <v>149.7433</v>
      </c>
      <c r="AX55" s="572">
        <v>99.173330000000007</v>
      </c>
      <c r="AY55" s="681">
        <v>1.8703333</v>
      </c>
      <c r="AZ55" s="685">
        <v>1.5329999999999999</v>
      </c>
      <c r="BA55" s="686" t="s">
        <v>495</v>
      </c>
      <c r="BB55" s="40" t="s">
        <v>383</v>
      </c>
      <c r="BC55" s="22" t="s">
        <v>383</v>
      </c>
      <c r="BD55" s="22" t="s">
        <v>383</v>
      </c>
      <c r="BE55" s="687" t="s">
        <v>383</v>
      </c>
      <c r="BF55" s="238" t="s">
        <v>383</v>
      </c>
      <c r="BG55" s="40" t="s">
        <v>383</v>
      </c>
      <c r="BH55" s="22" t="s">
        <v>383</v>
      </c>
      <c r="BI55" s="22" t="s">
        <v>383</v>
      </c>
      <c r="BJ55" s="296" t="s">
        <v>383</v>
      </c>
    </row>
    <row r="56" spans="1:62" ht="30" customHeight="1" x14ac:dyDescent="0.3">
      <c r="A56" s="346" t="str">
        <f t="shared" si="54"/>
        <v>Unitil</v>
      </c>
      <c r="B56" s="66" t="s">
        <v>383</v>
      </c>
      <c r="C56" s="66" t="s">
        <v>383</v>
      </c>
      <c r="D56" s="58" t="s">
        <v>434</v>
      </c>
      <c r="E56" s="58" t="s">
        <v>385</v>
      </c>
      <c r="F56" s="58" t="s">
        <v>437</v>
      </c>
      <c r="G56" s="58" t="s">
        <v>438</v>
      </c>
      <c r="H56" s="128" t="s">
        <v>453</v>
      </c>
      <c r="I56" s="128" t="s">
        <v>454</v>
      </c>
      <c r="J56" s="526">
        <v>12.692121907703218</v>
      </c>
      <c r="K56" s="526">
        <v>18.537034360151516</v>
      </c>
      <c r="L56" s="670">
        <v>1564</v>
      </c>
      <c r="M56" s="671">
        <v>78</v>
      </c>
      <c r="N56" s="672">
        <f t="shared" si="60"/>
        <v>78</v>
      </c>
      <c r="O56" s="15">
        <v>0</v>
      </c>
      <c r="P56" s="672">
        <f t="shared" si="60"/>
        <v>0</v>
      </c>
      <c r="Q56" s="15">
        <v>0</v>
      </c>
      <c r="R56" s="672">
        <f t="shared" si="61"/>
        <v>0</v>
      </c>
      <c r="S56" s="15">
        <f t="shared" si="3"/>
        <v>78</v>
      </c>
      <c r="T56" s="672">
        <f t="shared" si="62"/>
        <v>78</v>
      </c>
      <c r="U56" s="673">
        <v>1422.7</v>
      </c>
      <c r="V56" s="674">
        <v>1321.085</v>
      </c>
      <c r="W56" s="656">
        <v>0</v>
      </c>
      <c r="X56" s="657">
        <v>0</v>
      </c>
      <c r="Y56" s="15">
        <v>0</v>
      </c>
      <c r="Z56" s="10">
        <v>0</v>
      </c>
      <c r="AA56" s="675">
        <f t="shared" si="63"/>
        <v>1422.7</v>
      </c>
      <c r="AB56" s="676">
        <f t="shared" si="63"/>
        <v>1321.085</v>
      </c>
      <c r="AC56" s="564">
        <v>0.17583987754558766</v>
      </c>
      <c r="AD56" s="677">
        <v>2152523.0556000001</v>
      </c>
      <c r="AE56" s="678">
        <v>2152523.0556000001</v>
      </c>
      <c r="AF56" s="677">
        <v>0</v>
      </c>
      <c r="AG56" s="678">
        <v>0</v>
      </c>
      <c r="AH56" s="15">
        <v>0</v>
      </c>
      <c r="AI56" s="10">
        <v>0</v>
      </c>
      <c r="AJ56" s="690">
        <f t="shared" si="64"/>
        <v>2152523.0556000001</v>
      </c>
      <c r="AK56" s="691">
        <f t="shared" si="64"/>
        <v>2152523.0556000001</v>
      </c>
      <c r="AL56" s="611">
        <v>34496797.831536748</v>
      </c>
      <c r="AM56" s="618">
        <v>35018421.686253875</v>
      </c>
      <c r="AN56" s="618">
        <v>34401287.674544767</v>
      </c>
      <c r="AO56" s="679" t="s">
        <v>455</v>
      </c>
      <c r="AP56" s="680">
        <v>8.063042919394638</v>
      </c>
      <c r="AQ56" s="681">
        <v>7.9829999999999997</v>
      </c>
      <c r="AR56" s="682">
        <v>7.5129999999999999</v>
      </c>
      <c r="AS56" s="683">
        <v>3</v>
      </c>
      <c r="AT56" s="527">
        <v>2</v>
      </c>
      <c r="AU56" s="527">
        <v>4</v>
      </c>
      <c r="AV56" s="674">
        <f t="shared" si="7"/>
        <v>3</v>
      </c>
      <c r="AW56" s="684">
        <v>111.1567</v>
      </c>
      <c r="AX56" s="572">
        <v>59.77</v>
      </c>
      <c r="AY56" s="681">
        <v>1.266</v>
      </c>
      <c r="AZ56" s="685">
        <v>0.90566670000000005</v>
      </c>
      <c r="BA56" s="686" t="s">
        <v>496</v>
      </c>
      <c r="BB56" s="40" t="s">
        <v>383</v>
      </c>
      <c r="BC56" s="22" t="s">
        <v>383</v>
      </c>
      <c r="BD56" s="22" t="s">
        <v>383</v>
      </c>
      <c r="BE56" s="687" t="s">
        <v>383</v>
      </c>
      <c r="BF56" s="238" t="s">
        <v>383</v>
      </c>
      <c r="BG56" s="40" t="s">
        <v>383</v>
      </c>
      <c r="BH56" s="22" t="s">
        <v>383</v>
      </c>
      <c r="BI56" s="22" t="s">
        <v>383</v>
      </c>
      <c r="BJ56" s="296" t="s">
        <v>383</v>
      </c>
    </row>
    <row r="57" spans="1:62" ht="30" customHeight="1" x14ac:dyDescent="0.3">
      <c r="A57" s="346" t="str">
        <f t="shared" si="54"/>
        <v>Unitil</v>
      </c>
      <c r="B57" s="66" t="s">
        <v>383</v>
      </c>
      <c r="C57" s="66" t="s">
        <v>383</v>
      </c>
      <c r="D57" s="58" t="s">
        <v>434</v>
      </c>
      <c r="E57" s="58" t="s">
        <v>385</v>
      </c>
      <c r="F57" s="58" t="s">
        <v>439</v>
      </c>
      <c r="G57" s="58" t="s">
        <v>385</v>
      </c>
      <c r="H57" s="128" t="s">
        <v>453</v>
      </c>
      <c r="I57" s="128" t="s">
        <v>454</v>
      </c>
      <c r="J57" s="526">
        <v>9.5609204577802025</v>
      </c>
      <c r="K57" s="526">
        <v>12.435135325304925</v>
      </c>
      <c r="L57" s="670">
        <v>1689</v>
      </c>
      <c r="M57" s="671">
        <v>38</v>
      </c>
      <c r="N57" s="672">
        <f t="shared" si="60"/>
        <v>38</v>
      </c>
      <c r="O57" s="15">
        <v>0</v>
      </c>
      <c r="P57" s="672">
        <f t="shared" si="60"/>
        <v>0</v>
      </c>
      <c r="Q57" s="15">
        <v>0</v>
      </c>
      <c r="R57" s="672">
        <f t="shared" si="61"/>
        <v>0</v>
      </c>
      <c r="S57" s="15">
        <f t="shared" si="3"/>
        <v>38</v>
      </c>
      <c r="T57" s="672">
        <f t="shared" si="62"/>
        <v>38</v>
      </c>
      <c r="U57" s="673">
        <v>367.5</v>
      </c>
      <c r="V57" s="674">
        <v>278.8</v>
      </c>
      <c r="W57" s="656">
        <v>0</v>
      </c>
      <c r="X57" s="657">
        <v>0</v>
      </c>
      <c r="Y57" s="15">
        <v>0</v>
      </c>
      <c r="Z57" s="10">
        <v>0</v>
      </c>
      <c r="AA57" s="675">
        <f t="shared" si="63"/>
        <v>367.5</v>
      </c>
      <c r="AB57" s="676">
        <f t="shared" si="63"/>
        <v>278.8</v>
      </c>
      <c r="AC57" s="564">
        <v>9.1831357048748355E-2</v>
      </c>
      <c r="AD57" s="677">
        <v>454265.56799999997</v>
      </c>
      <c r="AE57" s="678">
        <v>454265.56799999997</v>
      </c>
      <c r="AF57" s="677">
        <v>0</v>
      </c>
      <c r="AG57" s="678">
        <v>0</v>
      </c>
      <c r="AH57" s="15">
        <v>0</v>
      </c>
      <c r="AI57" s="10">
        <v>0</v>
      </c>
      <c r="AJ57" s="690">
        <f t="shared" si="64"/>
        <v>454265.56799999997</v>
      </c>
      <c r="AK57" s="691">
        <f t="shared" si="64"/>
        <v>454265.56799999997</v>
      </c>
      <c r="AL57" s="611">
        <v>8154600.8528310703</v>
      </c>
      <c r="AM57" s="618">
        <v>14853109.837110814</v>
      </c>
      <c r="AN57" s="618">
        <v>13901545.238908282</v>
      </c>
      <c r="AO57" s="679" t="s">
        <v>455</v>
      </c>
      <c r="AP57" s="680">
        <v>1.9059999999999999</v>
      </c>
      <c r="AQ57" s="681">
        <v>3.3860000000000001</v>
      </c>
      <c r="AR57" s="682">
        <v>3.036</v>
      </c>
      <c r="AS57" s="683">
        <v>2</v>
      </c>
      <c r="AT57" s="527">
        <v>4</v>
      </c>
      <c r="AU57" s="527">
        <v>2</v>
      </c>
      <c r="AV57" s="674">
        <f t="shared" si="7"/>
        <v>2.6666666666666665</v>
      </c>
      <c r="AW57" s="684">
        <v>184.9667</v>
      </c>
      <c r="AX57" s="572">
        <v>135.30000000000001</v>
      </c>
      <c r="AY57" s="681">
        <v>2.4089999999999998</v>
      </c>
      <c r="AZ57" s="685">
        <v>2.0720000000000001</v>
      </c>
      <c r="BA57" s="716" t="s">
        <v>479</v>
      </c>
      <c r="BB57" s="40" t="s">
        <v>383</v>
      </c>
      <c r="BC57" s="22" t="s">
        <v>383</v>
      </c>
      <c r="BD57" s="22" t="s">
        <v>383</v>
      </c>
      <c r="BE57" s="687" t="s">
        <v>383</v>
      </c>
      <c r="BF57" s="238" t="s">
        <v>383</v>
      </c>
      <c r="BG57" s="40" t="s">
        <v>383</v>
      </c>
      <c r="BH57" s="22" t="s">
        <v>383</v>
      </c>
      <c r="BI57" s="22" t="s">
        <v>383</v>
      </c>
      <c r="BJ57" s="296" t="s">
        <v>383</v>
      </c>
    </row>
    <row r="58" spans="1:62" ht="30" customHeight="1" x14ac:dyDescent="0.3">
      <c r="A58" s="346" t="str">
        <f t="shared" si="54"/>
        <v>Unitil</v>
      </c>
      <c r="B58" s="66" t="s">
        <v>383</v>
      </c>
      <c r="C58" s="66" t="s">
        <v>383</v>
      </c>
      <c r="D58" s="58" t="s">
        <v>434</v>
      </c>
      <c r="E58" s="58" t="s">
        <v>385</v>
      </c>
      <c r="F58" s="58">
        <v>1303</v>
      </c>
      <c r="G58" s="58" t="s">
        <v>385</v>
      </c>
      <c r="H58" s="128" t="s">
        <v>453</v>
      </c>
      <c r="I58" s="128" t="s">
        <v>454</v>
      </c>
      <c r="J58" s="526">
        <v>14.867231311848215</v>
      </c>
      <c r="K58" s="526">
        <v>0.6</v>
      </c>
      <c r="L58" s="670" t="s">
        <v>383</v>
      </c>
      <c r="M58" s="18">
        <v>0</v>
      </c>
      <c r="N58" s="10">
        <f t="shared" si="60"/>
        <v>0</v>
      </c>
      <c r="O58" s="15">
        <v>0</v>
      </c>
      <c r="P58" s="10">
        <f t="shared" si="60"/>
        <v>0</v>
      </c>
      <c r="Q58" s="15">
        <v>0</v>
      </c>
      <c r="R58" s="10">
        <f t="shared" si="61"/>
        <v>0</v>
      </c>
      <c r="S58" s="15">
        <f t="shared" si="3"/>
        <v>0</v>
      </c>
      <c r="T58" s="10">
        <f t="shared" si="62"/>
        <v>0</v>
      </c>
      <c r="U58" s="688">
        <v>0</v>
      </c>
      <c r="V58" s="689">
        <v>0</v>
      </c>
      <c r="W58" s="656">
        <v>0</v>
      </c>
      <c r="X58" s="657">
        <v>0</v>
      </c>
      <c r="Y58" s="15">
        <v>0</v>
      </c>
      <c r="Z58" s="10">
        <v>0</v>
      </c>
      <c r="AA58" s="675">
        <f t="shared" si="63"/>
        <v>0</v>
      </c>
      <c r="AB58" s="676">
        <f t="shared" si="63"/>
        <v>0</v>
      </c>
      <c r="AC58" s="564"/>
      <c r="AD58" s="677">
        <f t="shared" ref="AD58:AD59" si="65">1302*(U58)</f>
        <v>0</v>
      </c>
      <c r="AE58" s="678">
        <f t="shared" ref="AE58:AE59" si="66">1302*V58</f>
        <v>0</v>
      </c>
      <c r="AF58" s="677">
        <f t="shared" ref="AF58:AG59" si="67">2080*W58</f>
        <v>0</v>
      </c>
      <c r="AG58" s="678">
        <f t="shared" si="67"/>
        <v>0</v>
      </c>
      <c r="AH58" s="15">
        <v>0</v>
      </c>
      <c r="AI58" s="10">
        <v>0</v>
      </c>
      <c r="AJ58" s="690">
        <f t="shared" si="64"/>
        <v>0</v>
      </c>
      <c r="AK58" s="691">
        <f t="shared" si="64"/>
        <v>0</v>
      </c>
      <c r="AL58" s="611">
        <v>0</v>
      </c>
      <c r="AM58" s="618">
        <v>0</v>
      </c>
      <c r="AN58" s="618">
        <v>0</v>
      </c>
      <c r="AO58" s="679" t="s">
        <v>455</v>
      </c>
      <c r="AP58" s="680">
        <v>0</v>
      </c>
      <c r="AQ58" s="681">
        <v>0</v>
      </c>
      <c r="AR58" s="682">
        <v>0</v>
      </c>
      <c r="AS58" s="683">
        <v>0</v>
      </c>
      <c r="AT58" s="527">
        <v>0</v>
      </c>
      <c r="AU58" s="527">
        <v>0</v>
      </c>
      <c r="AV58" s="674">
        <f t="shared" si="7"/>
        <v>0</v>
      </c>
      <c r="AW58" s="684" t="s">
        <v>383</v>
      </c>
      <c r="AX58" s="572" t="s">
        <v>383</v>
      </c>
      <c r="AY58" s="681" t="s">
        <v>383</v>
      </c>
      <c r="AZ58" s="685" t="s">
        <v>383</v>
      </c>
      <c r="BA58" s="686" t="s">
        <v>497</v>
      </c>
      <c r="BB58" s="40" t="s">
        <v>383</v>
      </c>
      <c r="BC58" s="22" t="s">
        <v>383</v>
      </c>
      <c r="BD58" s="22" t="s">
        <v>383</v>
      </c>
      <c r="BE58" s="687" t="s">
        <v>383</v>
      </c>
      <c r="BF58" s="238" t="s">
        <v>383</v>
      </c>
      <c r="BG58" s="40" t="s">
        <v>383</v>
      </c>
      <c r="BH58" s="22" t="s">
        <v>383</v>
      </c>
      <c r="BI58" s="22" t="s">
        <v>383</v>
      </c>
      <c r="BJ58" s="296" t="s">
        <v>383</v>
      </c>
    </row>
    <row r="59" spans="1:62" ht="30" customHeight="1" x14ac:dyDescent="0.3">
      <c r="A59" s="346" t="str">
        <f t="shared" si="54"/>
        <v>Unitil</v>
      </c>
      <c r="B59" s="66" t="s">
        <v>383</v>
      </c>
      <c r="C59" s="66" t="s">
        <v>383</v>
      </c>
      <c r="D59" s="58" t="s">
        <v>434</v>
      </c>
      <c r="E59" s="58" t="s">
        <v>385</v>
      </c>
      <c r="F59" s="58">
        <v>1309</v>
      </c>
      <c r="G59" s="58" t="s">
        <v>385</v>
      </c>
      <c r="H59" s="128" t="s">
        <v>453</v>
      </c>
      <c r="I59" s="128" t="s">
        <v>454</v>
      </c>
      <c r="J59" s="526">
        <v>12.692121907703218</v>
      </c>
      <c r="K59" s="526">
        <v>0.6</v>
      </c>
      <c r="L59" s="670" t="s">
        <v>383</v>
      </c>
      <c r="M59" s="18">
        <v>0</v>
      </c>
      <c r="N59" s="10">
        <f t="shared" si="60"/>
        <v>0</v>
      </c>
      <c r="O59" s="15">
        <v>0</v>
      </c>
      <c r="P59" s="10">
        <f t="shared" si="60"/>
        <v>0</v>
      </c>
      <c r="Q59" s="15">
        <v>0</v>
      </c>
      <c r="R59" s="10">
        <f t="shared" si="61"/>
        <v>0</v>
      </c>
      <c r="S59" s="15">
        <f t="shared" si="3"/>
        <v>0</v>
      </c>
      <c r="T59" s="10">
        <f t="shared" si="62"/>
        <v>0</v>
      </c>
      <c r="U59" s="688">
        <v>0</v>
      </c>
      <c r="V59" s="689">
        <v>0</v>
      </c>
      <c r="W59" s="656">
        <v>0</v>
      </c>
      <c r="X59" s="657">
        <v>0</v>
      </c>
      <c r="Y59" s="15">
        <v>0</v>
      </c>
      <c r="Z59" s="10">
        <v>0</v>
      </c>
      <c r="AA59" s="675">
        <f t="shared" si="63"/>
        <v>0</v>
      </c>
      <c r="AB59" s="676">
        <f t="shared" si="63"/>
        <v>0</v>
      </c>
      <c r="AC59" s="564"/>
      <c r="AD59" s="677">
        <f t="shared" si="65"/>
        <v>0</v>
      </c>
      <c r="AE59" s="678">
        <f t="shared" si="66"/>
        <v>0</v>
      </c>
      <c r="AF59" s="677">
        <f t="shared" si="67"/>
        <v>0</v>
      </c>
      <c r="AG59" s="678">
        <f t="shared" si="67"/>
        <v>0</v>
      </c>
      <c r="AH59" s="15">
        <v>0</v>
      </c>
      <c r="AI59" s="10">
        <v>0</v>
      </c>
      <c r="AJ59" s="690">
        <f>AD59+AF59+AH59</f>
        <v>0</v>
      </c>
      <c r="AK59" s="691">
        <f>AE59+AG59+AI59</f>
        <v>0</v>
      </c>
      <c r="AL59" s="611">
        <v>0</v>
      </c>
      <c r="AM59" s="618">
        <v>0</v>
      </c>
      <c r="AN59" s="618">
        <v>0</v>
      </c>
      <c r="AO59" s="679" t="s">
        <v>455</v>
      </c>
      <c r="AP59" s="680">
        <v>0</v>
      </c>
      <c r="AQ59" s="681">
        <v>0</v>
      </c>
      <c r="AR59" s="682">
        <v>0</v>
      </c>
      <c r="AS59" s="683">
        <v>0</v>
      </c>
      <c r="AT59" s="527">
        <v>0</v>
      </c>
      <c r="AU59" s="527">
        <v>0</v>
      </c>
      <c r="AV59" s="674">
        <f t="shared" si="7"/>
        <v>0</v>
      </c>
      <c r="AW59" s="684" t="s">
        <v>383</v>
      </c>
      <c r="AX59" s="572" t="s">
        <v>383</v>
      </c>
      <c r="AY59" s="681" t="s">
        <v>383</v>
      </c>
      <c r="AZ59" s="685" t="s">
        <v>383</v>
      </c>
      <c r="BA59" s="686" t="s">
        <v>497</v>
      </c>
      <c r="BB59" s="40" t="s">
        <v>383</v>
      </c>
      <c r="BC59" s="22" t="s">
        <v>383</v>
      </c>
      <c r="BD59" s="22" t="s">
        <v>383</v>
      </c>
      <c r="BE59" s="687" t="s">
        <v>383</v>
      </c>
      <c r="BF59" s="238" t="s">
        <v>383</v>
      </c>
      <c r="BG59" s="40" t="s">
        <v>383</v>
      </c>
      <c r="BH59" s="22" t="s">
        <v>383</v>
      </c>
      <c r="BI59" s="22" t="s">
        <v>383</v>
      </c>
      <c r="BJ59" s="296" t="s">
        <v>383</v>
      </c>
    </row>
    <row r="60" spans="1:62" ht="30" customHeight="1" x14ac:dyDescent="0.3">
      <c r="A60" s="346" t="str">
        <f t="shared" si="54"/>
        <v>Unitil</v>
      </c>
      <c r="B60" s="66" t="s">
        <v>383</v>
      </c>
      <c r="C60" s="66" t="s">
        <v>383</v>
      </c>
      <c r="D60" s="58" t="s">
        <v>434</v>
      </c>
      <c r="E60" s="58" t="s">
        <v>385</v>
      </c>
      <c r="F60" s="496"/>
      <c r="G60" s="496"/>
      <c r="H60" s="496"/>
      <c r="I60" s="496"/>
      <c r="J60" s="692"/>
      <c r="K60" s="692"/>
      <c r="L60" s="693"/>
      <c r="M60" s="694"/>
      <c r="N60" s="497"/>
      <c r="O60" s="569"/>
      <c r="P60" s="497"/>
      <c r="Q60" s="569"/>
      <c r="R60" s="497"/>
      <c r="S60" s="569"/>
      <c r="T60" s="497"/>
      <c r="U60" s="695"/>
      <c r="V60" s="696"/>
      <c r="W60" s="697"/>
      <c r="X60" s="698"/>
      <c r="Y60" s="569"/>
      <c r="Z60" s="497"/>
      <c r="AA60" s="529"/>
      <c r="AB60" s="699"/>
      <c r="AC60" s="700"/>
      <c r="AD60" s="569"/>
      <c r="AE60" s="497"/>
      <c r="AF60" s="569"/>
      <c r="AG60" s="497"/>
      <c r="AH60" s="569"/>
      <c r="AI60" s="497"/>
      <c r="AJ60" s="569"/>
      <c r="AK60" s="497"/>
      <c r="AL60" s="701"/>
      <c r="AM60" s="702"/>
      <c r="AN60" s="702"/>
      <c r="AO60" s="497"/>
      <c r="AP60" s="703"/>
      <c r="AQ60" s="692"/>
      <c r="AR60" s="704"/>
      <c r="AS60" s="569"/>
      <c r="AT60" s="496"/>
      <c r="AU60" s="496"/>
      <c r="AV60" s="497"/>
      <c r="AW60" s="569"/>
      <c r="AX60" s="496"/>
      <c r="AY60" s="496"/>
      <c r="AZ60" s="497"/>
      <c r="BA60" s="705"/>
      <c r="BB60" s="569"/>
      <c r="BC60" s="496"/>
      <c r="BD60" s="496"/>
      <c r="BE60" s="497"/>
      <c r="BF60" s="705"/>
      <c r="BG60" s="569"/>
      <c r="BH60" s="496"/>
      <c r="BI60" s="496"/>
      <c r="BJ60" s="497"/>
    </row>
    <row r="61" spans="1:62" ht="30" customHeight="1" x14ac:dyDescent="0.3">
      <c r="A61" s="346" t="str">
        <f t="shared" si="54"/>
        <v>Unitil</v>
      </c>
      <c r="B61" s="66" t="s">
        <v>383</v>
      </c>
      <c r="C61" s="66" t="s">
        <v>383</v>
      </c>
      <c r="D61" s="58" t="s">
        <v>440</v>
      </c>
      <c r="E61" s="58" t="s">
        <v>385</v>
      </c>
      <c r="F61" s="58" t="s">
        <v>441</v>
      </c>
      <c r="G61" s="58" t="s">
        <v>385</v>
      </c>
      <c r="H61" s="128" t="s">
        <v>453</v>
      </c>
      <c r="I61" s="128" t="s">
        <v>454</v>
      </c>
      <c r="J61" s="526">
        <v>12.849877095256593</v>
      </c>
      <c r="K61" s="526">
        <v>7.8131901443371214</v>
      </c>
      <c r="L61" s="670">
        <v>653</v>
      </c>
      <c r="M61" s="671">
        <v>73</v>
      </c>
      <c r="N61" s="672">
        <f t="shared" ref="N61:P62" si="68">M61</f>
        <v>73</v>
      </c>
      <c r="O61" s="15">
        <v>0</v>
      </c>
      <c r="P61" s="672">
        <f t="shared" si="68"/>
        <v>0</v>
      </c>
      <c r="Q61" s="15">
        <v>1</v>
      </c>
      <c r="R61" s="672">
        <f t="shared" ref="R61:R62" si="69">Q61</f>
        <v>1</v>
      </c>
      <c r="S61" s="15">
        <f t="shared" si="3"/>
        <v>74</v>
      </c>
      <c r="T61" s="672">
        <f t="shared" ref="T61:T62" si="70">S61</f>
        <v>74</v>
      </c>
      <c r="U61" s="673">
        <v>435.8</v>
      </c>
      <c r="V61" s="674">
        <v>391.54</v>
      </c>
      <c r="W61" s="656">
        <v>0</v>
      </c>
      <c r="X61" s="657">
        <v>0</v>
      </c>
      <c r="Y61" s="15">
        <v>9.1999999999999993</v>
      </c>
      <c r="Z61" s="10">
        <v>0</v>
      </c>
      <c r="AA61" s="675">
        <f>U61+W61+Y61</f>
        <v>445</v>
      </c>
      <c r="AB61" s="676">
        <f>V61+X61+Z61</f>
        <v>391.54</v>
      </c>
      <c r="AC61" s="564">
        <v>0.2808751793400287</v>
      </c>
      <c r="AD61" s="677">
        <v>637959.61440000008</v>
      </c>
      <c r="AE61" s="678">
        <v>637959.61440000008</v>
      </c>
      <c r="AF61" s="677">
        <f t="shared" ref="AF61:AG62" si="71">2080*W61</f>
        <v>0</v>
      </c>
      <c r="AG61" s="678">
        <f t="shared" si="71"/>
        <v>0</v>
      </c>
      <c r="AH61" s="15">
        <v>0</v>
      </c>
      <c r="AI61" s="10">
        <v>0</v>
      </c>
      <c r="AJ61" s="690">
        <f>AD61+AF61+AH61</f>
        <v>637959.61440000008</v>
      </c>
      <c r="AK61" s="691">
        <f>AE61+AG61+AI61</f>
        <v>637959.61440000008</v>
      </c>
      <c r="AL61" s="611">
        <v>14691818.04880666</v>
      </c>
      <c r="AM61" s="618">
        <v>6711535.1597104399</v>
      </c>
      <c r="AN61" s="618">
        <v>6382988.8218175704</v>
      </c>
      <c r="AO61" s="679" t="s">
        <v>455</v>
      </c>
      <c r="AP61" s="680">
        <v>3.4339639310860566</v>
      </c>
      <c r="AQ61" s="681">
        <v>1.53</v>
      </c>
      <c r="AR61" s="682">
        <v>1.3939999999999999</v>
      </c>
      <c r="AS61" s="683">
        <v>2</v>
      </c>
      <c r="AT61" s="527">
        <v>1</v>
      </c>
      <c r="AU61" s="527">
        <v>1</v>
      </c>
      <c r="AV61" s="674">
        <f t="shared" si="7"/>
        <v>1.3333333333333333</v>
      </c>
      <c r="AW61" s="684">
        <v>66.64667</v>
      </c>
      <c r="AX61" s="572">
        <v>66.64667</v>
      </c>
      <c r="AY61" s="681">
        <v>1.0489999999999999</v>
      </c>
      <c r="AZ61" s="685">
        <v>1.0489999999999999</v>
      </c>
      <c r="BA61" s="686" t="s">
        <v>498</v>
      </c>
      <c r="BB61" s="40" t="s">
        <v>383</v>
      </c>
      <c r="BC61" s="22" t="s">
        <v>383</v>
      </c>
      <c r="BD61" s="22" t="s">
        <v>383</v>
      </c>
      <c r="BE61" s="687" t="s">
        <v>383</v>
      </c>
      <c r="BF61" s="238" t="s">
        <v>383</v>
      </c>
      <c r="BG61" s="40" t="s">
        <v>383</v>
      </c>
      <c r="BH61" s="22" t="s">
        <v>383</v>
      </c>
      <c r="BI61" s="22" t="s">
        <v>383</v>
      </c>
      <c r="BJ61" s="296" t="s">
        <v>383</v>
      </c>
    </row>
    <row r="62" spans="1:62" ht="30" customHeight="1" x14ac:dyDescent="0.3">
      <c r="A62" s="346" t="str">
        <f t="shared" si="54"/>
        <v>Unitil</v>
      </c>
      <c r="B62" s="66" t="s">
        <v>383</v>
      </c>
      <c r="C62" s="66" t="s">
        <v>383</v>
      </c>
      <c r="D62" s="58" t="s">
        <v>440</v>
      </c>
      <c r="E62" s="58" t="s">
        <v>385</v>
      </c>
      <c r="F62" s="58" t="s">
        <v>442</v>
      </c>
      <c r="G62" s="58" t="s">
        <v>385</v>
      </c>
      <c r="H62" s="128" t="s">
        <v>453</v>
      </c>
      <c r="I62" s="128" t="s">
        <v>454</v>
      </c>
      <c r="J62" s="526">
        <v>14.685573823150392</v>
      </c>
      <c r="K62" s="526">
        <v>8.064315622234848E-2</v>
      </c>
      <c r="L62" s="670">
        <v>1</v>
      </c>
      <c r="M62" s="18">
        <v>0</v>
      </c>
      <c r="N62" s="10">
        <f t="shared" si="68"/>
        <v>0</v>
      </c>
      <c r="O62" s="15">
        <v>0</v>
      </c>
      <c r="P62" s="10">
        <f t="shared" si="68"/>
        <v>0</v>
      </c>
      <c r="Q62" s="15">
        <v>0</v>
      </c>
      <c r="R62" s="10">
        <f t="shared" si="69"/>
        <v>0</v>
      </c>
      <c r="S62" s="15">
        <f t="shared" si="3"/>
        <v>0</v>
      </c>
      <c r="T62" s="10">
        <f t="shared" si="70"/>
        <v>0</v>
      </c>
      <c r="U62" s="688">
        <v>0</v>
      </c>
      <c r="V62" s="689">
        <v>0</v>
      </c>
      <c r="W62" s="656">
        <v>0</v>
      </c>
      <c r="X62" s="657">
        <v>0</v>
      </c>
      <c r="Y62" s="15">
        <v>0</v>
      </c>
      <c r="Z62" s="10">
        <v>0</v>
      </c>
      <c r="AA62" s="675">
        <f>U62+W62+Y62</f>
        <v>0</v>
      </c>
      <c r="AB62" s="676">
        <f>V62+X62+Z62</f>
        <v>0</v>
      </c>
      <c r="AC62" s="564"/>
      <c r="AD62" s="677">
        <f>1302*(U62)</f>
        <v>0</v>
      </c>
      <c r="AE62" s="678">
        <f>1302*V62</f>
        <v>0</v>
      </c>
      <c r="AF62" s="677">
        <f t="shared" si="71"/>
        <v>0</v>
      </c>
      <c r="AG62" s="678">
        <f t="shared" si="71"/>
        <v>0</v>
      </c>
      <c r="AH62" s="15">
        <v>0</v>
      </c>
      <c r="AI62" s="10">
        <v>0</v>
      </c>
      <c r="AJ62" s="690">
        <f>AD62+AF62+AH62</f>
        <v>0</v>
      </c>
      <c r="AK62" s="691">
        <f>AE62+AG62+AI62</f>
        <v>0</v>
      </c>
      <c r="AL62" s="611">
        <v>33440077.739859235</v>
      </c>
      <c r="AM62" s="618">
        <v>33693661.151461363</v>
      </c>
      <c r="AN62" s="618">
        <v>34218131.610791035</v>
      </c>
      <c r="AO62" s="679" t="s">
        <v>455</v>
      </c>
      <c r="AP62" s="680">
        <v>7.8160524742353168</v>
      </c>
      <c r="AQ62" s="681">
        <v>7.681</v>
      </c>
      <c r="AR62" s="682">
        <v>7.4729999999999999</v>
      </c>
      <c r="AS62" s="683">
        <v>0</v>
      </c>
      <c r="AT62" s="527">
        <v>0</v>
      </c>
      <c r="AU62" s="527">
        <v>0</v>
      </c>
      <c r="AV62" s="674">
        <f t="shared" si="7"/>
        <v>0</v>
      </c>
      <c r="AW62" s="684">
        <v>18.95</v>
      </c>
      <c r="AX62" s="572">
        <v>18.95</v>
      </c>
      <c r="AY62" s="681">
        <v>0.3333333</v>
      </c>
      <c r="AZ62" s="685">
        <v>0.3333333</v>
      </c>
      <c r="BA62" s="686" t="s">
        <v>499</v>
      </c>
      <c r="BB62" s="40" t="s">
        <v>383</v>
      </c>
      <c r="BC62" s="22" t="s">
        <v>383</v>
      </c>
      <c r="BD62" s="22" t="s">
        <v>383</v>
      </c>
      <c r="BE62" s="687" t="s">
        <v>383</v>
      </c>
      <c r="BF62" s="238" t="s">
        <v>383</v>
      </c>
      <c r="BG62" s="40" t="s">
        <v>383</v>
      </c>
      <c r="BH62" s="22" t="s">
        <v>383</v>
      </c>
      <c r="BI62" s="22" t="s">
        <v>383</v>
      </c>
      <c r="BJ62" s="296" t="s">
        <v>383</v>
      </c>
    </row>
    <row r="63" spans="1:62" ht="30" customHeight="1" x14ac:dyDescent="0.3">
      <c r="A63" s="346" t="str">
        <f t="shared" si="54"/>
        <v>Unitil</v>
      </c>
      <c r="B63" s="66" t="s">
        <v>383</v>
      </c>
      <c r="C63" s="66" t="s">
        <v>383</v>
      </c>
      <c r="D63" s="58" t="s">
        <v>440</v>
      </c>
      <c r="E63" s="58" t="s">
        <v>385</v>
      </c>
      <c r="F63" s="58" t="s">
        <v>443</v>
      </c>
      <c r="G63" s="717" t="s">
        <v>385</v>
      </c>
      <c r="H63" s="717" t="s">
        <v>453</v>
      </c>
      <c r="I63" s="717" t="s">
        <v>454</v>
      </c>
      <c r="J63" s="718">
        <v>18.35696727893799</v>
      </c>
      <c r="K63" s="718">
        <v>0</v>
      </c>
      <c r="L63" s="719">
        <v>0</v>
      </c>
      <c r="M63" s="720"/>
      <c r="N63" s="721"/>
      <c r="O63" s="722"/>
      <c r="P63" s="721"/>
      <c r="Q63" s="722"/>
      <c r="R63" s="721"/>
      <c r="S63" s="722"/>
      <c r="T63" s="721"/>
      <c r="U63" s="723"/>
      <c r="V63" s="724"/>
      <c r="W63" s="725"/>
      <c r="X63" s="726"/>
      <c r="Y63" s="722"/>
      <c r="Z63" s="721"/>
      <c r="AA63" s="727"/>
      <c r="AB63" s="728"/>
      <c r="AC63" s="729"/>
      <c r="AD63" s="722"/>
      <c r="AE63" s="721"/>
      <c r="AF63" s="722"/>
      <c r="AG63" s="721"/>
      <c r="AH63" s="722"/>
      <c r="AI63" s="721"/>
      <c r="AJ63" s="722"/>
      <c r="AK63" s="721"/>
      <c r="AL63" s="730"/>
      <c r="AM63" s="731"/>
      <c r="AN63" s="731"/>
      <c r="AO63" s="732"/>
      <c r="AP63" s="733"/>
      <c r="AQ63" s="734"/>
      <c r="AR63" s="735"/>
      <c r="AS63" s="736">
        <v>0</v>
      </c>
      <c r="AT63" s="737">
        <v>0</v>
      </c>
      <c r="AU63" s="737">
        <v>0</v>
      </c>
      <c r="AV63" s="738"/>
      <c r="AW63" s="739" t="s">
        <v>383</v>
      </c>
      <c r="AX63" s="740" t="s">
        <v>383</v>
      </c>
      <c r="AY63" s="734" t="s">
        <v>383</v>
      </c>
      <c r="AZ63" s="735" t="s">
        <v>383</v>
      </c>
      <c r="BA63" s="741"/>
      <c r="BB63" s="742"/>
      <c r="BC63" s="743"/>
      <c r="BD63" s="743"/>
      <c r="BE63" s="744"/>
      <c r="BF63" s="745"/>
      <c r="BG63" s="742"/>
      <c r="BH63" s="743"/>
      <c r="BI63" s="743"/>
      <c r="BJ63" s="738">
        <f t="shared" ref="BJ63" si="72">IFERROR(0, AVERAGE(BG63:BI63))</f>
        <v>0</v>
      </c>
    </row>
    <row r="64" spans="1:62" ht="30" customHeight="1" x14ac:dyDescent="0.3">
      <c r="A64" s="346" t="str">
        <f t="shared" si="54"/>
        <v>Unitil</v>
      </c>
      <c r="B64" s="66" t="s">
        <v>383</v>
      </c>
      <c r="C64" s="66" t="s">
        <v>383</v>
      </c>
      <c r="D64" s="58" t="s">
        <v>440</v>
      </c>
      <c r="E64" s="58" t="s">
        <v>385</v>
      </c>
      <c r="F64" s="58" t="s">
        <v>444</v>
      </c>
      <c r="G64" s="58" t="s">
        <v>385</v>
      </c>
      <c r="H64" s="128" t="s">
        <v>453</v>
      </c>
      <c r="I64" s="128" t="s">
        <v>454</v>
      </c>
      <c r="J64" s="526">
        <v>8.7195594574955457</v>
      </c>
      <c r="K64" s="526">
        <v>6.998165196022728</v>
      </c>
      <c r="L64" s="670">
        <v>190</v>
      </c>
      <c r="M64" s="671">
        <v>9</v>
      </c>
      <c r="N64" s="672">
        <f t="shared" ref="N64:P65" si="73">M64</f>
        <v>9</v>
      </c>
      <c r="O64" s="15">
        <v>1</v>
      </c>
      <c r="P64" s="672">
        <f t="shared" si="73"/>
        <v>1</v>
      </c>
      <c r="Q64" s="15">
        <v>0</v>
      </c>
      <c r="R64" s="672">
        <f t="shared" ref="R64:R65" si="74">Q64</f>
        <v>0</v>
      </c>
      <c r="S64" s="15">
        <f t="shared" si="3"/>
        <v>10</v>
      </c>
      <c r="T64" s="672">
        <f t="shared" ref="T64:T65" si="75">S64</f>
        <v>10</v>
      </c>
      <c r="U64" s="673">
        <v>66.099999999999994</v>
      </c>
      <c r="V64" s="674">
        <v>37.174999999999997</v>
      </c>
      <c r="W64" s="656">
        <v>0</v>
      </c>
      <c r="X64" s="657">
        <v>0</v>
      </c>
      <c r="Y64" s="15">
        <v>0</v>
      </c>
      <c r="Z64" s="10">
        <v>0</v>
      </c>
      <c r="AA64" s="675">
        <f>U64+W64+Y64</f>
        <v>66.099999999999994</v>
      </c>
      <c r="AB64" s="676">
        <f>V64+X64+Z64</f>
        <v>37.174999999999997</v>
      </c>
      <c r="AC64" s="564">
        <v>7.7902347024308462E-3</v>
      </c>
      <c r="AD64" s="677">
        <v>60571.457999999991</v>
      </c>
      <c r="AE64" s="678">
        <v>60571.457999999991</v>
      </c>
      <c r="AF64" s="677">
        <f t="shared" ref="AF64:AG65" si="76">2080*W64</f>
        <v>0</v>
      </c>
      <c r="AG64" s="678">
        <f t="shared" si="76"/>
        <v>0</v>
      </c>
      <c r="AH64" s="15">
        <v>0</v>
      </c>
      <c r="AI64" s="10">
        <v>0</v>
      </c>
      <c r="AJ64" s="690">
        <f>AD64+AF64+AH64</f>
        <v>60571.457999999991</v>
      </c>
      <c r="AK64" s="691">
        <f>AE64+AG64+AI64</f>
        <v>60571.457999999991</v>
      </c>
      <c r="AL64" s="611">
        <v>20043593.996979848</v>
      </c>
      <c r="AM64" s="618">
        <v>21213715.053829856</v>
      </c>
      <c r="AN64" s="618">
        <v>21850518.405820262</v>
      </c>
      <c r="AO64" s="679" t="s">
        <v>455</v>
      </c>
      <c r="AP64" s="680">
        <v>4.6848510243122998</v>
      </c>
      <c r="AQ64" s="681">
        <v>4.8360000000000003</v>
      </c>
      <c r="AR64" s="682">
        <v>4.7720000000000002</v>
      </c>
      <c r="AS64" s="683">
        <v>0</v>
      </c>
      <c r="AT64" s="527">
        <v>0</v>
      </c>
      <c r="AU64" s="527">
        <v>0</v>
      </c>
      <c r="AV64" s="674">
        <f t="shared" si="7"/>
        <v>0</v>
      </c>
      <c r="AW64" s="684">
        <v>22.476669999999999</v>
      </c>
      <c r="AX64" s="572">
        <v>19.946670000000001</v>
      </c>
      <c r="AY64" s="681">
        <v>0.247</v>
      </c>
      <c r="AZ64" s="685">
        <v>0.23133329999999999</v>
      </c>
      <c r="BA64" s="686" t="s">
        <v>491</v>
      </c>
      <c r="BB64" s="40" t="s">
        <v>383</v>
      </c>
      <c r="BC64" s="22" t="s">
        <v>383</v>
      </c>
      <c r="BD64" s="22" t="s">
        <v>383</v>
      </c>
      <c r="BE64" s="687" t="s">
        <v>383</v>
      </c>
      <c r="BF64" s="238" t="s">
        <v>383</v>
      </c>
      <c r="BG64" s="40" t="s">
        <v>383</v>
      </c>
      <c r="BH64" s="22" t="s">
        <v>383</v>
      </c>
      <c r="BI64" s="22" t="s">
        <v>383</v>
      </c>
      <c r="BJ64" s="296" t="s">
        <v>383</v>
      </c>
    </row>
    <row r="65" spans="1:62" ht="30" customHeight="1" x14ac:dyDescent="0.3">
      <c r="A65" s="346" t="str">
        <f t="shared" si="54"/>
        <v>Unitil</v>
      </c>
      <c r="B65" s="66" t="s">
        <v>383</v>
      </c>
      <c r="C65" s="66" t="s">
        <v>383</v>
      </c>
      <c r="D65" s="58" t="s">
        <v>440</v>
      </c>
      <c r="E65" s="58" t="s">
        <v>385</v>
      </c>
      <c r="F65" s="58" t="s">
        <v>445</v>
      </c>
      <c r="G65" s="58" t="s">
        <v>385</v>
      </c>
      <c r="H65" s="128" t="s">
        <v>453</v>
      </c>
      <c r="I65" s="128" t="s">
        <v>454</v>
      </c>
      <c r="J65" s="526">
        <v>9.178483639468995</v>
      </c>
      <c r="K65" s="526">
        <v>4.2770522656799237</v>
      </c>
      <c r="L65" s="670">
        <v>145</v>
      </c>
      <c r="M65" s="671">
        <v>14</v>
      </c>
      <c r="N65" s="672">
        <f t="shared" si="73"/>
        <v>14</v>
      </c>
      <c r="O65" s="15">
        <v>0</v>
      </c>
      <c r="P65" s="672">
        <f t="shared" si="73"/>
        <v>0</v>
      </c>
      <c r="Q65" s="15">
        <v>0</v>
      </c>
      <c r="R65" s="672">
        <f t="shared" si="74"/>
        <v>0</v>
      </c>
      <c r="S65" s="15">
        <f t="shared" si="3"/>
        <v>14</v>
      </c>
      <c r="T65" s="672">
        <f t="shared" si="75"/>
        <v>14</v>
      </c>
      <c r="U65" s="673">
        <v>853.9</v>
      </c>
      <c r="V65" s="674">
        <v>836.3</v>
      </c>
      <c r="W65" s="656">
        <v>0</v>
      </c>
      <c r="X65" s="657">
        <v>0</v>
      </c>
      <c r="Y65" s="15">
        <v>0</v>
      </c>
      <c r="Z65" s="10">
        <v>0</v>
      </c>
      <c r="AA65" s="675">
        <f>U65+W65+Y65</f>
        <v>853.9</v>
      </c>
      <c r="AB65" s="676">
        <f>V65+X65+Z65</f>
        <v>836.3</v>
      </c>
      <c r="AC65" s="564">
        <v>0.18004305705059204</v>
      </c>
      <c r="AD65" s="677">
        <v>1362633.7679999999</v>
      </c>
      <c r="AE65" s="678">
        <v>1362633.7679999999</v>
      </c>
      <c r="AF65" s="677">
        <f t="shared" si="76"/>
        <v>0</v>
      </c>
      <c r="AG65" s="678">
        <f t="shared" si="76"/>
        <v>0</v>
      </c>
      <c r="AH65" s="15">
        <v>0</v>
      </c>
      <c r="AI65" s="10">
        <v>0</v>
      </c>
      <c r="AJ65" s="690">
        <f>AD65+AF65+AH65</f>
        <v>1362633.7679999999</v>
      </c>
      <c r="AK65" s="691">
        <f>AE65+AG65+AI65</f>
        <v>1362633.7679999999</v>
      </c>
      <c r="AL65" s="611">
        <v>20384471.445908081</v>
      </c>
      <c r="AM65" s="618">
        <v>19919660.88904909</v>
      </c>
      <c r="AN65" s="618">
        <v>21268997.903402161</v>
      </c>
      <c r="AO65" s="679" t="s">
        <v>455</v>
      </c>
      <c r="AP65" s="680">
        <v>4.7645253614604677</v>
      </c>
      <c r="AQ65" s="681">
        <v>4.5410000000000004</v>
      </c>
      <c r="AR65" s="682">
        <v>4.6449999999999996</v>
      </c>
      <c r="AS65" s="683">
        <v>1</v>
      </c>
      <c r="AT65" s="527">
        <v>0</v>
      </c>
      <c r="AU65" s="527">
        <v>1</v>
      </c>
      <c r="AV65" s="674">
        <f t="shared" si="7"/>
        <v>0.66666666666666663</v>
      </c>
      <c r="AW65" s="684">
        <v>36.236669999999997</v>
      </c>
      <c r="AX65" s="572">
        <v>35.613329999999998</v>
      </c>
      <c r="AY65" s="681">
        <v>0.755</v>
      </c>
      <c r="AZ65" s="685">
        <v>0.75066670000000002</v>
      </c>
      <c r="BA65" s="716" t="s">
        <v>500</v>
      </c>
      <c r="BB65" s="40" t="s">
        <v>383</v>
      </c>
      <c r="BC65" s="22" t="s">
        <v>383</v>
      </c>
      <c r="BD65" s="22" t="s">
        <v>383</v>
      </c>
      <c r="BE65" s="687" t="s">
        <v>383</v>
      </c>
      <c r="BF65" s="238" t="s">
        <v>383</v>
      </c>
      <c r="BG65" s="40" t="s">
        <v>383</v>
      </c>
      <c r="BH65" s="22" t="s">
        <v>383</v>
      </c>
      <c r="BI65" s="22" t="s">
        <v>383</v>
      </c>
      <c r="BJ65" s="296" t="s">
        <v>383</v>
      </c>
    </row>
    <row r="66" spans="1:62" ht="30" customHeight="1" thickBot="1" x14ac:dyDescent="0.35">
      <c r="A66" s="347" t="str">
        <f t="shared" si="54"/>
        <v>Unitil</v>
      </c>
      <c r="B66" s="502" t="s">
        <v>383</v>
      </c>
      <c r="C66" s="502" t="s">
        <v>383</v>
      </c>
      <c r="D66" s="209" t="s">
        <v>440</v>
      </c>
      <c r="E66" s="209" t="s">
        <v>385</v>
      </c>
      <c r="F66" s="503"/>
      <c r="G66" s="503"/>
      <c r="H66" s="503"/>
      <c r="I66" s="503"/>
      <c r="J66" s="746"/>
      <c r="K66" s="746"/>
      <c r="L66" s="747"/>
      <c r="M66" s="694"/>
      <c r="N66" s="497"/>
      <c r="O66" s="569"/>
      <c r="P66" s="497"/>
      <c r="Q66" s="569"/>
      <c r="R66" s="497"/>
      <c r="S66" s="575"/>
      <c r="T66" s="497"/>
      <c r="U66" s="748"/>
      <c r="V66" s="749"/>
      <c r="W66" s="697"/>
      <c r="X66" s="698"/>
      <c r="Y66" s="575"/>
      <c r="Z66" s="504"/>
      <c r="AA66" s="750"/>
      <c r="AB66" s="751"/>
      <c r="AC66" s="700"/>
      <c r="AD66" s="575"/>
      <c r="AE66" s="504"/>
      <c r="AF66" s="575"/>
      <c r="AG66" s="504"/>
      <c r="AH66" s="575"/>
      <c r="AI66" s="504"/>
      <c r="AJ66" s="575"/>
      <c r="AK66" s="504"/>
      <c r="AL66" s="752"/>
      <c r="AM66" s="753"/>
      <c r="AN66" s="753"/>
      <c r="AO66" s="504"/>
      <c r="AP66" s="754"/>
      <c r="AQ66" s="746"/>
      <c r="AR66" s="755"/>
      <c r="AS66" s="575"/>
      <c r="AT66" s="503"/>
      <c r="AU66" s="503"/>
      <c r="AV66" s="504"/>
      <c r="AW66" s="575"/>
      <c r="AX66" s="503"/>
      <c r="AY66" s="503"/>
      <c r="AZ66" s="504"/>
      <c r="BA66" s="756"/>
      <c r="BB66" s="575"/>
      <c r="BC66" s="503"/>
      <c r="BD66" s="503"/>
      <c r="BE66" s="504"/>
      <c r="BF66" s="756"/>
      <c r="BG66" s="575"/>
      <c r="BH66" s="503"/>
      <c r="BI66" s="503"/>
      <c r="BJ66" s="504"/>
    </row>
    <row r="67" spans="1:62" ht="15" thickBot="1" x14ac:dyDescent="0.35">
      <c r="A67" s="757" t="s">
        <v>31</v>
      </c>
      <c r="B67" s="910"/>
      <c r="C67" s="911"/>
      <c r="D67" s="911"/>
      <c r="E67" s="911"/>
      <c r="F67" s="911"/>
      <c r="G67" s="912"/>
      <c r="H67" s="47"/>
      <c r="I67" s="47"/>
      <c r="J67" s="47"/>
      <c r="K67" s="47"/>
      <c r="L67" s="252"/>
      <c r="M67" s="758">
        <f>SUM(M9:M66)</f>
        <v>1791</v>
      </c>
      <c r="N67" s="759">
        <f>SUM(N9:N66)</f>
        <v>1790</v>
      </c>
      <c r="O67" s="758">
        <f>SUM(O9:O66)</f>
        <v>7</v>
      </c>
      <c r="P67" s="759">
        <f>SUM(P9:P66)</f>
        <v>7</v>
      </c>
      <c r="Q67" s="758"/>
      <c r="R67" s="759"/>
      <c r="S67" s="255">
        <f t="shared" ref="S67:X67" si="77">SUM(S9:S66)</f>
        <v>1803</v>
      </c>
      <c r="T67" s="256">
        <f t="shared" si="77"/>
        <v>1802</v>
      </c>
      <c r="U67" s="760">
        <f t="shared" si="77"/>
        <v>26489.200000000001</v>
      </c>
      <c r="V67" s="761">
        <f t="shared" si="77"/>
        <v>20259.099999999999</v>
      </c>
      <c r="W67" s="760">
        <f t="shared" si="77"/>
        <v>1880.32</v>
      </c>
      <c r="X67" s="761">
        <f t="shared" si="77"/>
        <v>1879.12</v>
      </c>
      <c r="Y67" s="760"/>
      <c r="Z67" s="761"/>
      <c r="AA67" s="255">
        <f>SUM(AA9:AA66)</f>
        <v>28195.57</v>
      </c>
      <c r="AB67" s="762">
        <f>SUM(AB9:AB66)</f>
        <v>22138.219999999998</v>
      </c>
      <c r="AC67" s="670"/>
      <c r="AD67" s="255">
        <f>SUM(AD9:AD66)</f>
        <v>34638727.176000006</v>
      </c>
      <c r="AE67" s="256">
        <f t="shared" ref="AE67:AK67" si="78">SUM(AE9:AE66)</f>
        <v>33743022.782399997</v>
      </c>
      <c r="AF67" s="255">
        <f t="shared" si="78"/>
        <v>16468099.199999999</v>
      </c>
      <c r="AG67" s="256">
        <f t="shared" si="78"/>
        <v>16457587.199999999</v>
      </c>
      <c r="AH67" s="255">
        <f t="shared" si="78"/>
        <v>0</v>
      </c>
      <c r="AI67" s="256">
        <f t="shared" si="78"/>
        <v>0</v>
      </c>
      <c r="AJ67" s="255">
        <f t="shared" si="78"/>
        <v>51607876.388399988</v>
      </c>
      <c r="AK67" s="256">
        <f t="shared" si="78"/>
        <v>50712171.994799986</v>
      </c>
      <c r="AL67" s="575"/>
      <c r="AM67" s="503"/>
      <c r="AN67" s="503"/>
      <c r="AO67" s="504"/>
      <c r="AP67" s="575"/>
      <c r="AQ67" s="503"/>
      <c r="AR67" s="504"/>
      <c r="AS67" s="575"/>
      <c r="AT67" s="503"/>
      <c r="AU67" s="503"/>
      <c r="AV67" s="504"/>
      <c r="AW67" s="575"/>
      <c r="AX67" s="503"/>
      <c r="AY67" s="503"/>
      <c r="AZ67" s="504"/>
      <c r="BA67" s="763"/>
      <c r="BB67" s="575"/>
      <c r="BC67" s="503"/>
      <c r="BD67" s="503"/>
      <c r="BE67" s="504"/>
      <c r="BF67" s="764"/>
      <c r="BG67" s="575"/>
      <c r="BH67" s="503"/>
      <c r="BI67" s="503"/>
      <c r="BJ67" s="504"/>
    </row>
    <row r="68" spans="1:62" x14ac:dyDescent="0.3">
      <c r="B68" s="6"/>
      <c r="C68" s="6"/>
      <c r="D68" s="7"/>
      <c r="E68" s="7"/>
      <c r="F68" s="124"/>
      <c r="G68" s="124"/>
      <c r="H68" s="124"/>
      <c r="I68" s="124"/>
      <c r="J68" s="124"/>
      <c r="K68" s="124"/>
      <c r="L68" s="124"/>
      <c r="M68" s="7"/>
      <c r="N68" s="7"/>
      <c r="O68" s="7"/>
      <c r="P68" s="7"/>
      <c r="Q68" s="7"/>
      <c r="R68" s="7"/>
      <c r="S68" s="7"/>
      <c r="T68" s="7"/>
      <c r="U68" s="7"/>
      <c r="V68" s="7"/>
      <c r="W68" s="7"/>
      <c r="X68" s="7"/>
      <c r="Y68" s="7"/>
      <c r="Z68" s="7"/>
      <c r="AA68" s="7"/>
      <c r="AB68" s="7"/>
      <c r="AC68" s="7"/>
      <c r="AD68" s="6"/>
      <c r="AE68" s="6"/>
      <c r="AF68" s="6"/>
      <c r="AG68" s="6"/>
      <c r="AH68" s="6"/>
      <c r="AI68" s="6"/>
      <c r="AJ68" s="6"/>
      <c r="AK68" s="6"/>
    </row>
    <row r="69" spans="1:62" x14ac:dyDescent="0.3">
      <c r="A69" s="1" t="s">
        <v>32</v>
      </c>
      <c r="C69" s="1"/>
    </row>
    <row r="70" spans="1:62" x14ac:dyDescent="0.3">
      <c r="A70" s="194" t="s">
        <v>33</v>
      </c>
      <c r="B70" s="152"/>
      <c r="C70" s="151"/>
      <c r="D70" s="152"/>
      <c r="E70" s="152"/>
      <c r="F70" s="152"/>
      <c r="G70" s="152"/>
      <c r="H70" s="152"/>
      <c r="I70" s="152"/>
      <c r="J70" s="152"/>
      <c r="K70" s="153"/>
      <c r="L70" s="218"/>
      <c r="M70" s="218"/>
      <c r="N70" s="218"/>
    </row>
    <row r="71" spans="1:62" x14ac:dyDescent="0.3">
      <c r="A71" s="154" t="s">
        <v>53</v>
      </c>
      <c r="B71" s="158"/>
      <c r="C71" s="155"/>
      <c r="D71" s="158"/>
      <c r="E71" s="158"/>
      <c r="F71" s="158"/>
      <c r="G71" s="158"/>
      <c r="H71" s="158"/>
      <c r="I71" s="158"/>
      <c r="J71" s="158"/>
      <c r="K71" s="156"/>
      <c r="L71" s="218"/>
      <c r="M71" s="218"/>
      <c r="N71" s="218"/>
    </row>
    <row r="72" spans="1:62" ht="15" customHeight="1" x14ac:dyDescent="0.3">
      <c r="A72" s="164" t="s">
        <v>329</v>
      </c>
      <c r="B72" s="158"/>
      <c r="C72" s="142"/>
      <c r="D72" s="142"/>
      <c r="E72" s="142"/>
      <c r="F72" s="142"/>
      <c r="G72" s="142"/>
      <c r="H72" s="142"/>
      <c r="I72" s="142"/>
      <c r="J72" s="142"/>
      <c r="K72" s="143"/>
      <c r="L72" s="71"/>
      <c r="M72" s="218"/>
      <c r="N72" s="218"/>
    </row>
    <row r="73" spans="1:62" ht="15" customHeight="1" x14ac:dyDescent="0.3">
      <c r="A73" s="164" t="s">
        <v>330</v>
      </c>
      <c r="B73" s="158"/>
      <c r="C73" s="142"/>
      <c r="D73" s="142"/>
      <c r="E73" s="142"/>
      <c r="F73" s="142"/>
      <c r="G73" s="142"/>
      <c r="H73" s="142"/>
      <c r="I73" s="142"/>
      <c r="J73" s="142"/>
      <c r="K73" s="143"/>
      <c r="L73" s="71"/>
      <c r="M73" s="218"/>
      <c r="N73" s="218"/>
    </row>
    <row r="74" spans="1:62" x14ac:dyDescent="0.3">
      <c r="A74" s="154" t="s">
        <v>54</v>
      </c>
      <c r="B74" s="158"/>
      <c r="C74" s="155"/>
      <c r="D74" s="158"/>
      <c r="E74" s="158"/>
      <c r="F74" s="158"/>
      <c r="G74" s="158"/>
      <c r="H74" s="158"/>
      <c r="I74" s="158"/>
      <c r="J74" s="158"/>
      <c r="K74" s="156"/>
      <c r="L74" s="218"/>
      <c r="M74" s="218"/>
      <c r="N74" s="218"/>
      <c r="AJ74" s="71"/>
      <c r="AK74" s="71"/>
      <c r="AL74" s="71"/>
      <c r="AM74" s="71"/>
      <c r="AN74" s="71"/>
      <c r="AO74" s="71"/>
      <c r="AP74" s="71"/>
      <c r="AQ74" s="71"/>
      <c r="AR74" s="71"/>
      <c r="AS74" s="71"/>
      <c r="AT74" s="71"/>
      <c r="AU74" s="71"/>
      <c r="AV74" s="71"/>
      <c r="BB74" s="71"/>
      <c r="BC74" s="71"/>
      <c r="BD74" s="71"/>
      <c r="BE74" s="71"/>
      <c r="BF74" s="71"/>
      <c r="BG74" s="71"/>
      <c r="BH74" s="71"/>
      <c r="BI74" s="71"/>
      <c r="BJ74" s="71"/>
    </row>
    <row r="75" spans="1:62" x14ac:dyDescent="0.3">
      <c r="A75" s="167" t="s">
        <v>331</v>
      </c>
      <c r="B75" s="168"/>
      <c r="C75" s="171"/>
      <c r="D75" s="171"/>
      <c r="E75" s="171"/>
      <c r="F75" s="171"/>
      <c r="G75" s="171"/>
      <c r="H75" s="171"/>
      <c r="I75" s="171"/>
      <c r="J75" s="171"/>
      <c r="K75" s="189"/>
      <c r="L75" s="170"/>
      <c r="M75" s="218"/>
      <c r="N75" s="218"/>
    </row>
    <row r="76" spans="1:62" x14ac:dyDescent="0.3">
      <c r="B76" s="254"/>
      <c r="C76" s="254"/>
      <c r="D76" s="70"/>
      <c r="E76" s="70"/>
      <c r="F76" s="70"/>
      <c r="G76" s="70"/>
      <c r="H76" s="70"/>
      <c r="I76" s="70"/>
      <c r="J76" s="70"/>
      <c r="K76" s="70"/>
      <c r="L76" s="70"/>
    </row>
  </sheetData>
  <autoFilter ref="B8:AK66" xr:uid="{00000000-0009-0000-0000-000018000000}"/>
  <mergeCells count="37">
    <mergeCell ref="BB6:BE6"/>
    <mergeCell ref="BB4:BJ4"/>
    <mergeCell ref="BG6:BJ7"/>
    <mergeCell ref="BG5:BJ5"/>
    <mergeCell ref="AL5:AR5"/>
    <mergeCell ref="BB7:BE7"/>
    <mergeCell ref="BB5:BF5"/>
    <mergeCell ref="BF6:BF7"/>
    <mergeCell ref="AW5:BA5"/>
    <mergeCell ref="AS7:AV7"/>
    <mergeCell ref="AL7:AO7"/>
    <mergeCell ref="AP7:AR7"/>
    <mergeCell ref="M4:AK4"/>
    <mergeCell ref="M5:T5"/>
    <mergeCell ref="Q6:R7"/>
    <mergeCell ref="S6:T7"/>
    <mergeCell ref="U6:V7"/>
    <mergeCell ref="W6:X7"/>
    <mergeCell ref="Y6:Z7"/>
    <mergeCell ref="AJ6:AK7"/>
    <mergeCell ref="AA6:AB7"/>
    <mergeCell ref="B67:G67"/>
    <mergeCell ref="AW6:BA7"/>
    <mergeCell ref="AD6:AE7"/>
    <mergeCell ref="AF6:AG7"/>
    <mergeCell ref="AH6:AI7"/>
    <mergeCell ref="A4:G7"/>
    <mergeCell ref="H4:L7"/>
    <mergeCell ref="AL4:BA4"/>
    <mergeCell ref="M6:N7"/>
    <mergeCell ref="O6:P7"/>
    <mergeCell ref="AC6:AC7"/>
    <mergeCell ref="U5:AC5"/>
    <mergeCell ref="AD5:AK5"/>
    <mergeCell ref="AL6:AO6"/>
    <mergeCell ref="AP6:AR6"/>
    <mergeCell ref="AS6:AV6"/>
  </mergeCells>
  <printOptions headings="1" gridLines="1"/>
  <pageMargins left="0.7" right="0.7" top="0.75" bottom="0.75" header="0.3" footer="0.3"/>
  <pageSetup scale="10" orientation="landscape"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96FE7-DD00-4FD7-BFEC-65F40E654188}">
  <sheetPr>
    <tabColor theme="2"/>
  </sheetPr>
  <dimension ref="A1:R66"/>
  <sheetViews>
    <sheetView workbookViewId="0">
      <pane xSplit="5" ySplit="9" topLeftCell="F10" activePane="bottomRight" state="frozen"/>
      <selection pane="topRight" activeCell="F1" sqref="F1"/>
      <selection pane="bottomLeft" activeCell="A10" sqref="A10"/>
      <selection pane="bottomRight" activeCell="A10" sqref="A10"/>
    </sheetView>
  </sheetViews>
  <sheetFormatPr defaultColWidth="9.109375" defaultRowHeight="14.4" x14ac:dyDescent="0.3"/>
  <cols>
    <col min="1" max="1" width="18.88671875" style="123" customWidth="1"/>
    <col min="2" max="2" width="15.109375" style="123" customWidth="1"/>
    <col min="3" max="3" width="14.33203125" style="123" customWidth="1"/>
    <col min="4" max="5" width="19.33203125" style="123" customWidth="1"/>
    <col min="6" max="13" width="26.33203125" style="123" customWidth="1"/>
    <col min="14" max="18" width="43.88671875" style="123" customWidth="1"/>
    <col min="19" max="16384" width="9.109375" style="123"/>
  </cols>
  <sheetData>
    <row r="1" spans="1:18" x14ac:dyDescent="0.3">
      <c r="A1" s="1" t="s">
        <v>511</v>
      </c>
      <c r="B1" s="1010" t="s">
        <v>512</v>
      </c>
      <c r="C1" s="1011"/>
      <c r="D1" s="250" t="s">
        <v>2</v>
      </c>
      <c r="E1" s="250" t="s">
        <v>69</v>
      </c>
    </row>
    <row r="2" spans="1:18" x14ac:dyDescent="0.3">
      <c r="A2" s="1"/>
      <c r="B2" s="1"/>
      <c r="C2" s="192"/>
      <c r="D2" s="250" t="s">
        <v>4</v>
      </c>
      <c r="E2" s="783">
        <v>2023</v>
      </c>
    </row>
    <row r="3" spans="1:18" x14ac:dyDescent="0.3">
      <c r="A3" s="1"/>
      <c r="B3" s="124"/>
      <c r="C3" s="2"/>
      <c r="D3" s="2"/>
    </row>
    <row r="6" spans="1:18" ht="15" thickBot="1" x14ac:dyDescent="0.35">
      <c r="A6" s="784"/>
      <c r="B6" s="784"/>
      <c r="C6" s="784"/>
      <c r="D6" s="784"/>
      <c r="E6" s="784"/>
      <c r="F6" s="784"/>
      <c r="G6" s="784"/>
      <c r="H6" s="784"/>
      <c r="I6" s="784"/>
      <c r="J6" s="784"/>
      <c r="K6" s="784"/>
      <c r="L6" s="784"/>
      <c r="M6" s="784"/>
      <c r="N6" s="784"/>
      <c r="O6" s="784"/>
      <c r="P6" s="784"/>
      <c r="Q6" s="784"/>
      <c r="R6" s="784"/>
    </row>
    <row r="7" spans="1:18" ht="15" thickBot="1" x14ac:dyDescent="0.35">
      <c r="A7" s="784"/>
      <c r="B7" s="784"/>
      <c r="C7" s="784"/>
      <c r="D7" s="784"/>
      <c r="E7" s="784"/>
      <c r="F7" s="1012" t="s">
        <v>513</v>
      </c>
      <c r="G7" s="1013"/>
      <c r="H7" s="1013"/>
      <c r="I7" s="1013"/>
      <c r="J7" s="1013"/>
      <c r="K7" s="1013"/>
      <c r="L7" s="1013"/>
      <c r="M7" s="1014"/>
      <c r="N7" s="1015" t="s">
        <v>514</v>
      </c>
      <c r="O7" s="1016"/>
      <c r="P7" s="1015" t="s">
        <v>515</v>
      </c>
      <c r="Q7" s="1016"/>
      <c r="R7" s="785" t="s">
        <v>516</v>
      </c>
    </row>
    <row r="8" spans="1:18" ht="58.5" customHeight="1" thickBot="1" x14ac:dyDescent="0.35">
      <c r="A8" s="1017" t="s">
        <v>53</v>
      </c>
      <c r="B8" s="1018"/>
      <c r="C8" s="1018"/>
      <c r="D8" s="1018"/>
      <c r="E8" s="1019"/>
      <c r="F8" s="1020"/>
      <c r="G8" s="1021"/>
      <c r="H8" s="1021"/>
      <c r="I8" s="1021"/>
      <c r="J8" s="1021"/>
      <c r="K8" s="1021"/>
      <c r="L8" s="1021"/>
      <c r="M8" s="786"/>
      <c r="N8" s="1022" t="s">
        <v>517</v>
      </c>
      <c r="O8" s="1023"/>
      <c r="P8" s="1022" t="s">
        <v>518</v>
      </c>
      <c r="Q8" s="1023"/>
      <c r="R8" s="787" t="s">
        <v>519</v>
      </c>
    </row>
    <row r="9" spans="1:18" ht="43.2" x14ac:dyDescent="0.3">
      <c r="A9" s="788" t="s">
        <v>2</v>
      </c>
      <c r="B9" s="789" t="s">
        <v>12</v>
      </c>
      <c r="C9" s="789" t="s">
        <v>13</v>
      </c>
      <c r="D9" s="790" t="s">
        <v>14</v>
      </c>
      <c r="E9" s="791" t="s">
        <v>16</v>
      </c>
      <c r="F9" s="792" t="s">
        <v>83</v>
      </c>
      <c r="G9" s="792" t="s">
        <v>520</v>
      </c>
      <c r="H9" s="792" t="s">
        <v>521</v>
      </c>
      <c r="I9" s="792" t="s">
        <v>522</v>
      </c>
      <c r="J9" s="792" t="s">
        <v>523</v>
      </c>
      <c r="K9" s="792" t="s">
        <v>524</v>
      </c>
      <c r="L9" s="792" t="s">
        <v>525</v>
      </c>
      <c r="M9" s="792" t="s">
        <v>526</v>
      </c>
      <c r="N9" s="793" t="s">
        <v>527</v>
      </c>
      <c r="O9" s="793" t="s">
        <v>528</v>
      </c>
      <c r="P9" s="794" t="s">
        <v>529</v>
      </c>
      <c r="Q9" s="794" t="s">
        <v>530</v>
      </c>
      <c r="R9" s="795" t="s">
        <v>531</v>
      </c>
    </row>
    <row r="10" spans="1:18" x14ac:dyDescent="0.3">
      <c r="A10" s="60" t="str">
        <f t="shared" ref="A10:A66" si="0">$E$1</f>
        <v>Unitil</v>
      </c>
      <c r="B10" s="66" t="s">
        <v>383</v>
      </c>
      <c r="C10" s="66" t="s">
        <v>383</v>
      </c>
      <c r="D10" s="58" t="s">
        <v>384</v>
      </c>
      <c r="E10" s="58" t="s">
        <v>386</v>
      </c>
      <c r="F10" s="58">
        <f>'3b. Feeder Status-2023'!M15</f>
        <v>620</v>
      </c>
      <c r="G10" s="58"/>
      <c r="H10" s="58">
        <v>617</v>
      </c>
      <c r="I10" s="58"/>
      <c r="J10" s="58"/>
      <c r="K10" s="58"/>
      <c r="L10" s="58" t="str">
        <f>IF(F10&lt;&gt;H10,"Y","N")</f>
        <v>Y</v>
      </c>
      <c r="M10" s="58" t="s">
        <v>451</v>
      </c>
      <c r="N10" s="58"/>
      <c r="O10" s="58"/>
      <c r="P10" s="58"/>
      <c r="Q10" s="58"/>
      <c r="R10" s="58"/>
    </row>
    <row r="11" spans="1:18" x14ac:dyDescent="0.3">
      <c r="A11" s="60" t="str">
        <f t="shared" si="0"/>
        <v>Unitil</v>
      </c>
      <c r="B11" s="66" t="s">
        <v>383</v>
      </c>
      <c r="C11" s="66" t="s">
        <v>383</v>
      </c>
      <c r="D11" s="58" t="s">
        <v>384</v>
      </c>
      <c r="E11" s="58" t="s">
        <v>388</v>
      </c>
      <c r="F11" s="58">
        <f>'3b. Feeder Status-2023'!M16</f>
        <v>1995</v>
      </c>
      <c r="G11" s="58"/>
      <c r="H11" s="58">
        <v>2001</v>
      </c>
      <c r="I11" s="58"/>
      <c r="J11" s="58"/>
      <c r="K11" s="58"/>
      <c r="L11" s="58" t="str">
        <f>IF(F11&lt;&gt;H11,"Y","N")</f>
        <v>Y</v>
      </c>
      <c r="M11" s="58" t="s">
        <v>451</v>
      </c>
      <c r="N11" s="58"/>
      <c r="O11" s="58"/>
      <c r="P11" s="58"/>
      <c r="Q11" s="58"/>
      <c r="R11" s="58"/>
    </row>
    <row r="12" spans="1:18" x14ac:dyDescent="0.3">
      <c r="A12" s="60" t="str">
        <f t="shared" si="0"/>
        <v>Unitil</v>
      </c>
      <c r="B12" s="66" t="s">
        <v>383</v>
      </c>
      <c r="C12" s="66" t="s">
        <v>383</v>
      </c>
      <c r="D12" s="58" t="s">
        <v>384</v>
      </c>
      <c r="E12" s="58" t="s">
        <v>389</v>
      </c>
      <c r="F12" s="58">
        <f>'3b. Feeder Status-2023'!M17</f>
        <v>1660</v>
      </c>
      <c r="G12" s="58"/>
      <c r="H12" s="58">
        <v>1672</v>
      </c>
      <c r="I12" s="58"/>
      <c r="J12" s="58"/>
      <c r="K12" s="58"/>
      <c r="L12" s="58" t="str">
        <f>IF(F12&lt;&gt;H12,"Y","N")</f>
        <v>Y</v>
      </c>
      <c r="M12" s="58" t="s">
        <v>451</v>
      </c>
      <c r="N12" s="58"/>
      <c r="O12" s="58"/>
      <c r="P12" s="58"/>
      <c r="Q12" s="58"/>
      <c r="R12" s="58"/>
    </row>
    <row r="13" spans="1:18" x14ac:dyDescent="0.3">
      <c r="A13" s="60" t="str">
        <f t="shared" si="0"/>
        <v>Unitil</v>
      </c>
      <c r="B13" s="66" t="s">
        <v>383</v>
      </c>
      <c r="C13" s="66" t="s">
        <v>383</v>
      </c>
      <c r="D13" s="58" t="s">
        <v>384</v>
      </c>
      <c r="E13" s="58" t="s">
        <v>390</v>
      </c>
      <c r="F13" s="58">
        <f>'3b. Feeder Status-2023'!M18</f>
        <v>1</v>
      </c>
      <c r="G13" s="58"/>
      <c r="H13" s="58">
        <v>1</v>
      </c>
      <c r="I13" s="58"/>
      <c r="J13" s="58"/>
      <c r="K13" s="58"/>
      <c r="L13" s="58" t="str">
        <f>IF(F13&lt;&gt;H13,"Y","N")</f>
        <v>N</v>
      </c>
      <c r="M13" s="58" t="s">
        <v>451</v>
      </c>
      <c r="N13" s="58"/>
      <c r="O13" s="58"/>
      <c r="P13" s="58"/>
      <c r="Q13" s="58"/>
      <c r="R13" s="58"/>
    </row>
    <row r="14" spans="1:18" x14ac:dyDescent="0.3">
      <c r="A14" s="60" t="str">
        <f>$E$1</f>
        <v>Unitil</v>
      </c>
      <c r="B14" s="66" t="s">
        <v>383</v>
      </c>
      <c r="C14" s="66" t="s">
        <v>383</v>
      </c>
      <c r="D14" s="58" t="s">
        <v>384</v>
      </c>
      <c r="E14" s="496"/>
      <c r="F14" s="496"/>
      <c r="G14" s="496"/>
      <c r="H14" s="496"/>
      <c r="I14" s="496"/>
      <c r="J14" s="496"/>
      <c r="K14" s="496"/>
      <c r="L14" s="496"/>
      <c r="M14" s="496"/>
      <c r="N14" s="496"/>
      <c r="O14" s="496"/>
      <c r="P14" s="496"/>
      <c r="Q14" s="496"/>
      <c r="R14" s="496"/>
    </row>
    <row r="15" spans="1:18" x14ac:dyDescent="0.3">
      <c r="A15" s="60" t="str">
        <f t="shared" si="0"/>
        <v>Unitil</v>
      </c>
      <c r="B15" s="66" t="s">
        <v>383</v>
      </c>
      <c r="C15" s="66" t="s">
        <v>383</v>
      </c>
      <c r="D15" s="58" t="s">
        <v>391</v>
      </c>
      <c r="E15" s="58" t="s">
        <v>392</v>
      </c>
      <c r="F15" s="58">
        <f>'3b. Feeder Status-2023'!M20</f>
        <v>756</v>
      </c>
      <c r="G15" s="58"/>
      <c r="H15" s="58">
        <v>756</v>
      </c>
      <c r="I15" s="58"/>
      <c r="J15" s="58"/>
      <c r="K15" s="58"/>
      <c r="L15" s="58" t="str">
        <f>IF(F15&lt;&gt;H15,"Y","N")</f>
        <v>N</v>
      </c>
      <c r="M15" s="58" t="s">
        <v>451</v>
      </c>
      <c r="N15" s="58"/>
      <c r="O15" s="58"/>
      <c r="P15" s="58"/>
      <c r="Q15" s="58"/>
      <c r="R15" s="58"/>
    </row>
    <row r="16" spans="1:18" x14ac:dyDescent="0.3">
      <c r="A16" s="60" t="str">
        <f t="shared" si="0"/>
        <v>Unitil</v>
      </c>
      <c r="B16" s="66" t="s">
        <v>383</v>
      </c>
      <c r="C16" s="66" t="s">
        <v>383</v>
      </c>
      <c r="D16" s="58" t="s">
        <v>391</v>
      </c>
      <c r="E16" s="58" t="s">
        <v>393</v>
      </c>
      <c r="F16" s="58">
        <f>'3b. Feeder Status-2023'!M21</f>
        <v>374</v>
      </c>
      <c r="G16" s="58"/>
      <c r="H16" s="58">
        <v>373</v>
      </c>
      <c r="I16" s="58"/>
      <c r="J16" s="58"/>
      <c r="K16" s="58"/>
      <c r="L16" s="58" t="str">
        <f>IF(F16&lt;&gt;H16,"Y","N")</f>
        <v>Y</v>
      </c>
      <c r="M16" s="58" t="s">
        <v>451</v>
      </c>
      <c r="N16" s="58"/>
      <c r="O16" s="58"/>
      <c r="P16" s="58"/>
      <c r="Q16" s="58"/>
      <c r="R16" s="58"/>
    </row>
    <row r="17" spans="1:18" x14ac:dyDescent="0.3">
      <c r="A17" s="60" t="str">
        <f t="shared" si="0"/>
        <v>Unitil</v>
      </c>
      <c r="B17" s="66" t="s">
        <v>383</v>
      </c>
      <c r="C17" s="66" t="s">
        <v>383</v>
      </c>
      <c r="D17" s="58" t="s">
        <v>391</v>
      </c>
      <c r="E17" s="58" t="s">
        <v>394</v>
      </c>
      <c r="F17" s="58">
        <f>'3b. Feeder Status-2023'!M22</f>
        <v>1778</v>
      </c>
      <c r="G17" s="58"/>
      <c r="H17" s="58">
        <v>1226</v>
      </c>
      <c r="I17" s="58"/>
      <c r="J17" s="58"/>
      <c r="K17" s="58"/>
      <c r="L17" s="58" t="str">
        <f>IF(F17&lt;&gt;H17,"Y","N")</f>
        <v>Y</v>
      </c>
      <c r="M17" s="58" t="s">
        <v>451</v>
      </c>
      <c r="N17" s="58"/>
      <c r="O17" s="58"/>
      <c r="P17" s="58"/>
      <c r="Q17" s="58"/>
      <c r="R17" s="58"/>
    </row>
    <row r="18" spans="1:18" x14ac:dyDescent="0.3">
      <c r="A18" s="60" t="str">
        <f t="shared" si="0"/>
        <v>Unitil</v>
      </c>
      <c r="B18" s="66" t="s">
        <v>383</v>
      </c>
      <c r="C18" s="66" t="s">
        <v>383</v>
      </c>
      <c r="D18" s="58" t="s">
        <v>391</v>
      </c>
      <c r="E18" s="496"/>
      <c r="F18" s="496"/>
      <c r="G18" s="496"/>
      <c r="H18" s="496"/>
      <c r="I18" s="496"/>
      <c r="J18" s="496"/>
      <c r="K18" s="496"/>
      <c r="L18" s="496"/>
      <c r="M18" s="496"/>
      <c r="N18" s="496"/>
      <c r="O18" s="496"/>
      <c r="P18" s="496"/>
      <c r="Q18" s="496"/>
      <c r="R18" s="496"/>
    </row>
    <row r="19" spans="1:18" x14ac:dyDescent="0.3">
      <c r="A19" s="60" t="str">
        <f t="shared" si="0"/>
        <v>Unitil</v>
      </c>
      <c r="B19" s="66" t="s">
        <v>383</v>
      </c>
      <c r="C19" s="66" t="s">
        <v>383</v>
      </c>
      <c r="D19" s="58" t="s">
        <v>395</v>
      </c>
      <c r="E19" s="58" t="s">
        <v>396</v>
      </c>
      <c r="F19" s="58">
        <f>'3b. Feeder Status-2023'!M24</f>
        <v>0</v>
      </c>
      <c r="G19" s="58"/>
      <c r="H19" s="58">
        <v>0</v>
      </c>
      <c r="I19" s="58"/>
      <c r="J19" s="58"/>
      <c r="K19" s="58"/>
      <c r="L19" s="58" t="str">
        <f>IF(F19&lt;&gt;H19,"Y","N")</f>
        <v>N</v>
      </c>
      <c r="M19" s="58" t="s">
        <v>451</v>
      </c>
      <c r="N19" s="58"/>
      <c r="O19" s="58"/>
      <c r="P19" s="58"/>
      <c r="Q19" s="58"/>
      <c r="R19" s="58"/>
    </row>
    <row r="20" spans="1:18" x14ac:dyDescent="0.3">
      <c r="A20" s="60" t="str">
        <f t="shared" si="0"/>
        <v>Unitil</v>
      </c>
      <c r="B20" s="66" t="s">
        <v>383</v>
      </c>
      <c r="C20" s="66" t="s">
        <v>383</v>
      </c>
      <c r="D20" s="58" t="s">
        <v>395</v>
      </c>
      <c r="E20" s="58" t="s">
        <v>397</v>
      </c>
      <c r="F20" s="58">
        <f>'3b. Feeder Status-2023'!M25</f>
        <v>1</v>
      </c>
      <c r="G20" s="58"/>
      <c r="H20" s="58">
        <v>1</v>
      </c>
      <c r="I20" s="58"/>
      <c r="J20" s="58"/>
      <c r="K20" s="58"/>
      <c r="L20" s="58" t="str">
        <f>IF(F20&lt;&gt;H20,"Y","N")</f>
        <v>N</v>
      </c>
      <c r="M20" s="58" t="s">
        <v>451</v>
      </c>
      <c r="N20" s="58"/>
      <c r="O20" s="58"/>
      <c r="P20" s="58"/>
      <c r="Q20" s="58"/>
      <c r="R20" s="58"/>
    </row>
    <row r="21" spans="1:18" x14ac:dyDescent="0.3">
      <c r="A21" s="60" t="str">
        <f t="shared" si="0"/>
        <v>Unitil</v>
      </c>
      <c r="B21" s="66" t="s">
        <v>383</v>
      </c>
      <c r="C21" s="66" t="s">
        <v>383</v>
      </c>
      <c r="D21" s="58" t="s">
        <v>395</v>
      </c>
      <c r="E21" s="58" t="s">
        <v>398</v>
      </c>
      <c r="F21" s="58">
        <f>'3b. Feeder Status-2023'!M26</f>
        <v>1535</v>
      </c>
      <c r="G21" s="58"/>
      <c r="H21" s="58">
        <v>20</v>
      </c>
      <c r="I21" s="58"/>
      <c r="J21" s="58"/>
      <c r="K21" s="58"/>
      <c r="L21" s="58" t="str">
        <f>IF(F21&lt;&gt;H21,"Y","N")</f>
        <v>Y</v>
      </c>
      <c r="M21" s="58" t="s">
        <v>451</v>
      </c>
      <c r="N21" s="58"/>
      <c r="O21" s="58"/>
      <c r="P21" s="58"/>
      <c r="Q21" s="58"/>
      <c r="R21" s="58"/>
    </row>
    <row r="22" spans="1:18" x14ac:dyDescent="0.3">
      <c r="A22" s="60" t="str">
        <f t="shared" si="0"/>
        <v>Unitil</v>
      </c>
      <c r="B22" s="66" t="s">
        <v>383</v>
      </c>
      <c r="C22" s="66" t="s">
        <v>383</v>
      </c>
      <c r="D22" s="58" t="s">
        <v>395</v>
      </c>
      <c r="E22" s="58" t="s">
        <v>400</v>
      </c>
      <c r="F22" s="58">
        <f>'3b. Feeder Status-2023'!M27</f>
        <v>574</v>
      </c>
      <c r="G22" s="58"/>
      <c r="H22" s="58">
        <v>339</v>
      </c>
      <c r="I22" s="58"/>
      <c r="J22" s="58"/>
      <c r="K22" s="58"/>
      <c r="L22" s="58" t="str">
        <f>IF(F22&lt;&gt;H22,"Y","N")</f>
        <v>Y</v>
      </c>
      <c r="M22" s="58" t="s">
        <v>451</v>
      </c>
      <c r="N22" s="58"/>
      <c r="O22" s="58"/>
      <c r="P22" s="58"/>
      <c r="Q22" s="58"/>
      <c r="R22" s="58"/>
    </row>
    <row r="23" spans="1:18" x14ac:dyDescent="0.3">
      <c r="A23" s="60" t="str">
        <f t="shared" si="0"/>
        <v>Unitil</v>
      </c>
      <c r="B23" s="66" t="s">
        <v>383</v>
      </c>
      <c r="C23" s="66" t="s">
        <v>383</v>
      </c>
      <c r="D23" s="58" t="s">
        <v>395</v>
      </c>
      <c r="E23" s="496"/>
      <c r="F23" s="496"/>
      <c r="G23" s="496"/>
      <c r="H23" s="496"/>
      <c r="I23" s="496"/>
      <c r="J23" s="496"/>
      <c r="K23" s="496"/>
      <c r="L23" s="496"/>
      <c r="M23" s="496"/>
      <c r="N23" s="496"/>
      <c r="O23" s="496"/>
      <c r="P23" s="496"/>
      <c r="Q23" s="496"/>
      <c r="R23" s="496"/>
    </row>
    <row r="24" spans="1:18" x14ac:dyDescent="0.3">
      <c r="A24" s="60" t="str">
        <f t="shared" si="0"/>
        <v>Unitil</v>
      </c>
      <c r="B24" s="66" t="s">
        <v>383</v>
      </c>
      <c r="C24" s="66" t="s">
        <v>383</v>
      </c>
      <c r="D24" s="58" t="s">
        <v>401</v>
      </c>
      <c r="E24" s="58" t="s">
        <v>402</v>
      </c>
      <c r="F24" s="58">
        <f>'3b. Feeder Status-2023'!M29</f>
        <v>896</v>
      </c>
      <c r="G24" s="58"/>
      <c r="H24" s="58">
        <v>570</v>
      </c>
      <c r="I24" s="58"/>
      <c r="J24" s="58"/>
      <c r="K24" s="58"/>
      <c r="L24" s="58" t="str">
        <f>IF(F24&lt;&gt;H24,"Y","N")</f>
        <v>Y</v>
      </c>
      <c r="M24" s="58" t="s">
        <v>451</v>
      </c>
      <c r="N24" s="58"/>
      <c r="O24" s="58"/>
      <c r="P24" s="58"/>
      <c r="Q24" s="58"/>
      <c r="R24" s="58"/>
    </row>
    <row r="25" spans="1:18" x14ac:dyDescent="0.3">
      <c r="A25" s="60" t="str">
        <f t="shared" si="0"/>
        <v>Unitil</v>
      </c>
      <c r="B25" s="66" t="s">
        <v>383</v>
      </c>
      <c r="C25" s="66" t="s">
        <v>383</v>
      </c>
      <c r="D25" s="58" t="s">
        <v>401</v>
      </c>
      <c r="E25" s="496"/>
      <c r="F25" s="496"/>
      <c r="G25" s="496"/>
      <c r="H25" s="496"/>
      <c r="I25" s="496"/>
      <c r="J25" s="496"/>
      <c r="K25" s="496"/>
      <c r="L25" s="496"/>
      <c r="M25" s="496"/>
      <c r="N25" s="496"/>
      <c r="O25" s="496"/>
      <c r="P25" s="496"/>
      <c r="Q25" s="496"/>
      <c r="R25" s="496"/>
    </row>
    <row r="26" spans="1:18" x14ac:dyDescent="0.3">
      <c r="A26" s="60" t="str">
        <f t="shared" si="0"/>
        <v>Unitil</v>
      </c>
      <c r="B26" s="66" t="s">
        <v>383</v>
      </c>
      <c r="C26" s="66" t="s">
        <v>383</v>
      </c>
      <c r="D26" s="58" t="s">
        <v>403</v>
      </c>
      <c r="E26" s="58">
        <v>1341</v>
      </c>
      <c r="F26" s="58" t="str">
        <f>'3b. Feeder Status-2023'!M31</f>
        <v>N/A</v>
      </c>
      <c r="G26" s="58"/>
      <c r="H26" s="58">
        <v>0</v>
      </c>
      <c r="I26" s="58"/>
      <c r="J26" s="58"/>
      <c r="K26" s="58"/>
      <c r="L26" s="58" t="str">
        <f>IF(F26&lt;&gt;H26,"Y","N")</f>
        <v>Y</v>
      </c>
      <c r="M26" s="58"/>
      <c r="N26" s="58"/>
      <c r="O26" s="58"/>
      <c r="P26" s="58"/>
      <c r="Q26" s="58"/>
      <c r="R26" s="58"/>
    </row>
    <row r="27" spans="1:18" x14ac:dyDescent="0.3">
      <c r="A27" s="60" t="str">
        <f t="shared" si="0"/>
        <v>Unitil</v>
      </c>
      <c r="B27" s="66" t="s">
        <v>383</v>
      </c>
      <c r="C27" s="66" t="s">
        <v>383</v>
      </c>
      <c r="D27" s="58" t="s">
        <v>403</v>
      </c>
      <c r="E27" s="496"/>
      <c r="F27" s="496"/>
      <c r="G27" s="496"/>
      <c r="H27" s="496"/>
      <c r="I27" s="496"/>
      <c r="J27" s="496"/>
      <c r="K27" s="496"/>
      <c r="L27" s="496"/>
      <c r="M27" s="496"/>
      <c r="N27" s="496"/>
      <c r="O27" s="496"/>
      <c r="P27" s="496"/>
      <c r="Q27" s="496"/>
      <c r="R27" s="496"/>
    </row>
    <row r="28" spans="1:18" x14ac:dyDescent="0.3">
      <c r="A28" s="60" t="str">
        <f t="shared" si="0"/>
        <v>Unitil</v>
      </c>
      <c r="B28" s="66" t="s">
        <v>383</v>
      </c>
      <c r="C28" s="66" t="s">
        <v>383</v>
      </c>
      <c r="D28" s="58" t="s">
        <v>404</v>
      </c>
      <c r="E28" s="58" t="s">
        <v>405</v>
      </c>
      <c r="F28" s="58">
        <f>'3b. Feeder Status-2023'!M33</f>
        <v>2112</v>
      </c>
      <c r="G28" s="58"/>
      <c r="H28" s="58">
        <v>2112</v>
      </c>
      <c r="I28" s="58"/>
      <c r="J28" s="58"/>
      <c r="K28" s="58"/>
      <c r="L28" s="58" t="str">
        <f t="shared" ref="L28:L36" si="1">IF(F28&lt;&gt;H28,"Y","N")</f>
        <v>N</v>
      </c>
      <c r="M28" s="58" t="s">
        <v>451</v>
      </c>
      <c r="N28" s="58"/>
      <c r="O28" s="58"/>
      <c r="P28" s="58"/>
      <c r="Q28" s="58"/>
      <c r="R28" s="58"/>
    </row>
    <row r="29" spans="1:18" x14ac:dyDescent="0.3">
      <c r="A29" s="60" t="str">
        <f t="shared" si="0"/>
        <v>Unitil</v>
      </c>
      <c r="B29" s="66" t="s">
        <v>383</v>
      </c>
      <c r="C29" s="66" t="s">
        <v>383</v>
      </c>
      <c r="D29" s="58" t="s">
        <v>404</v>
      </c>
      <c r="E29" s="58" t="s">
        <v>406</v>
      </c>
      <c r="F29" s="58" t="str">
        <f>'3b. Feeder Status-2023'!M34</f>
        <v>Network</v>
      </c>
      <c r="G29" s="58"/>
      <c r="H29" s="58">
        <v>0</v>
      </c>
      <c r="I29" s="58"/>
      <c r="J29" s="58"/>
      <c r="K29" s="58"/>
      <c r="L29" s="58" t="str">
        <f t="shared" si="1"/>
        <v>Y</v>
      </c>
      <c r="M29" s="58" t="s">
        <v>451</v>
      </c>
      <c r="N29" s="58"/>
      <c r="O29" s="58"/>
      <c r="P29" s="58"/>
      <c r="Q29" s="58"/>
      <c r="R29" s="58"/>
    </row>
    <row r="30" spans="1:18" x14ac:dyDescent="0.3">
      <c r="A30" s="60" t="str">
        <f t="shared" si="0"/>
        <v>Unitil</v>
      </c>
      <c r="B30" s="66" t="s">
        <v>383</v>
      </c>
      <c r="C30" s="66" t="s">
        <v>383</v>
      </c>
      <c r="D30" s="58" t="s">
        <v>404</v>
      </c>
      <c r="E30" s="58" t="s">
        <v>407</v>
      </c>
      <c r="F30" s="58">
        <f>'3b. Feeder Status-2023'!M35</f>
        <v>20</v>
      </c>
      <c r="G30" s="58"/>
      <c r="H30" s="58">
        <v>20</v>
      </c>
      <c r="I30" s="58"/>
      <c r="J30" s="58"/>
      <c r="K30" s="58"/>
      <c r="L30" s="58" t="str">
        <f t="shared" si="1"/>
        <v>N</v>
      </c>
      <c r="M30" s="58" t="s">
        <v>451</v>
      </c>
      <c r="N30" s="58"/>
      <c r="O30" s="58"/>
      <c r="P30" s="58"/>
      <c r="Q30" s="58"/>
      <c r="R30" s="58"/>
    </row>
    <row r="31" spans="1:18" x14ac:dyDescent="0.3">
      <c r="A31" s="60" t="str">
        <f t="shared" si="0"/>
        <v>Unitil</v>
      </c>
      <c r="B31" s="66" t="s">
        <v>383</v>
      </c>
      <c r="C31" s="66" t="s">
        <v>383</v>
      </c>
      <c r="D31" s="58" t="s">
        <v>404</v>
      </c>
      <c r="E31" s="58" t="s">
        <v>408</v>
      </c>
      <c r="F31" s="58" t="str">
        <f>'3b. Feeder Status-2023'!M36</f>
        <v>Network</v>
      </c>
      <c r="G31" s="58"/>
      <c r="H31" s="58">
        <v>2</v>
      </c>
      <c r="I31" s="58"/>
      <c r="J31" s="58"/>
      <c r="K31" s="58"/>
      <c r="L31" s="58" t="str">
        <f t="shared" si="1"/>
        <v>Y</v>
      </c>
      <c r="M31" s="58" t="s">
        <v>451</v>
      </c>
      <c r="N31" s="58"/>
      <c r="O31" s="58"/>
      <c r="P31" s="58"/>
      <c r="Q31" s="58"/>
      <c r="R31" s="58"/>
    </row>
    <row r="32" spans="1:18" x14ac:dyDescent="0.3">
      <c r="A32" s="60" t="str">
        <f t="shared" si="0"/>
        <v>Unitil</v>
      </c>
      <c r="B32" s="66" t="s">
        <v>383</v>
      </c>
      <c r="C32" s="66" t="s">
        <v>383</v>
      </c>
      <c r="D32" s="58" t="s">
        <v>404</v>
      </c>
      <c r="E32" s="58" t="s">
        <v>409</v>
      </c>
      <c r="F32" s="58" t="str">
        <f>'3b. Feeder Status-2023'!M37</f>
        <v>N/A</v>
      </c>
      <c r="G32" s="58"/>
      <c r="H32" s="58">
        <v>0</v>
      </c>
      <c r="I32" s="58"/>
      <c r="J32" s="58"/>
      <c r="K32" s="58"/>
      <c r="L32" s="58" t="str">
        <f t="shared" si="1"/>
        <v>Y</v>
      </c>
      <c r="M32" s="58" t="s">
        <v>451</v>
      </c>
      <c r="N32" s="58"/>
      <c r="O32" s="58"/>
      <c r="P32" s="58"/>
      <c r="Q32" s="58"/>
      <c r="R32" s="58"/>
    </row>
    <row r="33" spans="1:18" x14ac:dyDescent="0.3">
      <c r="A33" s="60" t="str">
        <f t="shared" si="0"/>
        <v>Unitil</v>
      </c>
      <c r="B33" s="66" t="s">
        <v>383</v>
      </c>
      <c r="C33" s="66" t="s">
        <v>383</v>
      </c>
      <c r="D33" s="58" t="s">
        <v>404</v>
      </c>
      <c r="E33" s="58" t="s">
        <v>410</v>
      </c>
      <c r="F33" s="58" t="str">
        <f>'3b. Feeder Status-2023'!M38</f>
        <v>Network</v>
      </c>
      <c r="G33" s="58"/>
      <c r="H33" s="58">
        <v>0</v>
      </c>
      <c r="I33" s="58"/>
      <c r="J33" s="58"/>
      <c r="K33" s="58"/>
      <c r="L33" s="58" t="str">
        <f t="shared" si="1"/>
        <v>Y</v>
      </c>
      <c r="M33" s="58" t="s">
        <v>451</v>
      </c>
      <c r="N33" s="58"/>
      <c r="O33" s="58"/>
      <c r="P33" s="58"/>
      <c r="Q33" s="58"/>
      <c r="R33" s="58"/>
    </row>
    <row r="34" spans="1:18" x14ac:dyDescent="0.3">
      <c r="A34" s="60" t="str">
        <f t="shared" si="0"/>
        <v>Unitil</v>
      </c>
      <c r="B34" s="66" t="s">
        <v>383</v>
      </c>
      <c r="C34" s="66" t="s">
        <v>383</v>
      </c>
      <c r="D34" s="58" t="s">
        <v>404</v>
      </c>
      <c r="E34" s="58" t="s">
        <v>411</v>
      </c>
      <c r="F34" s="58" t="str">
        <f>'3b. Feeder Status-2023'!M39</f>
        <v>N/A</v>
      </c>
      <c r="G34" s="58"/>
      <c r="H34" s="58">
        <v>0</v>
      </c>
      <c r="I34" s="58"/>
      <c r="J34" s="58"/>
      <c r="K34" s="58"/>
      <c r="L34" s="58" t="str">
        <f t="shared" si="1"/>
        <v>Y</v>
      </c>
      <c r="M34" s="58" t="s">
        <v>451</v>
      </c>
      <c r="N34" s="58"/>
      <c r="O34" s="58"/>
      <c r="P34" s="58"/>
      <c r="Q34" s="58"/>
      <c r="R34" s="58"/>
    </row>
    <row r="35" spans="1:18" x14ac:dyDescent="0.3">
      <c r="A35" s="60" t="str">
        <f t="shared" si="0"/>
        <v>Unitil</v>
      </c>
      <c r="B35" s="66" t="s">
        <v>383</v>
      </c>
      <c r="C35" s="66" t="s">
        <v>383</v>
      </c>
      <c r="D35" s="58" t="s">
        <v>404</v>
      </c>
      <c r="E35" s="58" t="s">
        <v>412</v>
      </c>
      <c r="F35" s="58" t="str">
        <f>'3b. Feeder Status-2023'!M40</f>
        <v>N/A</v>
      </c>
      <c r="G35" s="58"/>
      <c r="H35" s="58">
        <v>0</v>
      </c>
      <c r="I35" s="58"/>
      <c r="J35" s="58"/>
      <c r="K35" s="58"/>
      <c r="L35" s="58" t="str">
        <f t="shared" si="1"/>
        <v>Y</v>
      </c>
      <c r="M35" s="58" t="s">
        <v>451</v>
      </c>
      <c r="N35" s="58"/>
      <c r="O35" s="58"/>
      <c r="P35" s="58"/>
      <c r="Q35" s="58"/>
      <c r="R35" s="58"/>
    </row>
    <row r="36" spans="1:18" x14ac:dyDescent="0.3">
      <c r="A36" s="60" t="str">
        <f t="shared" si="0"/>
        <v>Unitil</v>
      </c>
      <c r="B36" s="66" t="s">
        <v>383</v>
      </c>
      <c r="C36" s="66" t="s">
        <v>383</v>
      </c>
      <c r="D36" s="58" t="s">
        <v>404</v>
      </c>
      <c r="E36" s="58" t="s">
        <v>413</v>
      </c>
      <c r="F36" s="58">
        <f>'3b. Feeder Status-2023'!M41</f>
        <v>466</v>
      </c>
      <c r="G36" s="58"/>
      <c r="H36" s="58">
        <v>457</v>
      </c>
      <c r="I36" s="58"/>
      <c r="J36" s="58"/>
      <c r="K36" s="58"/>
      <c r="L36" s="58" t="str">
        <f t="shared" si="1"/>
        <v>Y</v>
      </c>
      <c r="M36" s="58" t="s">
        <v>451</v>
      </c>
      <c r="N36" s="58"/>
      <c r="O36" s="58"/>
      <c r="P36" s="58"/>
      <c r="Q36" s="58"/>
      <c r="R36" s="58"/>
    </row>
    <row r="37" spans="1:18" x14ac:dyDescent="0.3">
      <c r="A37" s="60" t="str">
        <f t="shared" si="0"/>
        <v>Unitil</v>
      </c>
      <c r="B37" s="66" t="s">
        <v>383</v>
      </c>
      <c r="C37" s="66" t="s">
        <v>383</v>
      </c>
      <c r="D37" s="58" t="s">
        <v>404</v>
      </c>
      <c r="E37" s="496"/>
      <c r="F37" s="496"/>
      <c r="G37" s="496"/>
      <c r="H37" s="496"/>
      <c r="I37" s="496"/>
      <c r="J37" s="496"/>
      <c r="K37" s="496"/>
      <c r="L37" s="496"/>
      <c r="M37" s="496"/>
      <c r="N37" s="496"/>
      <c r="O37" s="496"/>
      <c r="P37" s="496"/>
      <c r="Q37" s="496"/>
      <c r="R37" s="496"/>
    </row>
    <row r="38" spans="1:18" x14ac:dyDescent="0.3">
      <c r="A38" s="60" t="str">
        <f t="shared" si="0"/>
        <v>Unitil</v>
      </c>
      <c r="B38" s="66" t="s">
        <v>383</v>
      </c>
      <c r="C38" s="66" t="s">
        <v>383</v>
      </c>
      <c r="D38" s="58" t="s">
        <v>414</v>
      </c>
      <c r="E38" s="58" t="s">
        <v>415</v>
      </c>
      <c r="F38" s="58">
        <f>'3b. Feeder Status-2023'!M43</f>
        <v>1237</v>
      </c>
      <c r="G38" s="58"/>
      <c r="H38" s="58">
        <v>380</v>
      </c>
      <c r="I38" s="58"/>
      <c r="J38" s="58"/>
      <c r="K38" s="58"/>
      <c r="L38" s="58" t="str">
        <f>IF(F38&lt;&gt;H38,"Y","N")</f>
        <v>Y</v>
      </c>
      <c r="M38" s="58" t="s">
        <v>451</v>
      </c>
      <c r="N38" s="58"/>
      <c r="O38" s="58"/>
      <c r="P38" s="58"/>
      <c r="Q38" s="58"/>
      <c r="R38" s="58"/>
    </row>
    <row r="39" spans="1:18" x14ac:dyDescent="0.3">
      <c r="A39" s="60" t="str">
        <f t="shared" si="0"/>
        <v>Unitil</v>
      </c>
      <c r="B39" s="66" t="s">
        <v>383</v>
      </c>
      <c r="C39" s="66" t="s">
        <v>383</v>
      </c>
      <c r="D39" s="58" t="s">
        <v>414</v>
      </c>
      <c r="E39" s="58" t="s">
        <v>416</v>
      </c>
      <c r="F39" s="58">
        <f>'3b. Feeder Status-2023'!M44</f>
        <v>639</v>
      </c>
      <c r="G39" s="58"/>
      <c r="H39" s="58">
        <v>604</v>
      </c>
      <c r="I39" s="58"/>
      <c r="J39" s="58"/>
      <c r="K39" s="58"/>
      <c r="L39" s="58" t="str">
        <f>IF(F39&lt;&gt;H39,"Y","N")</f>
        <v>Y</v>
      </c>
      <c r="M39" s="58" t="s">
        <v>451</v>
      </c>
      <c r="N39" s="58"/>
      <c r="O39" s="58"/>
      <c r="P39" s="58"/>
      <c r="Q39" s="58"/>
      <c r="R39" s="58"/>
    </row>
    <row r="40" spans="1:18" x14ac:dyDescent="0.3">
      <c r="A40" s="60" t="str">
        <f t="shared" si="0"/>
        <v>Unitil</v>
      </c>
      <c r="B40" s="66" t="s">
        <v>383</v>
      </c>
      <c r="C40" s="66" t="s">
        <v>383</v>
      </c>
      <c r="D40" s="58" t="s">
        <v>414</v>
      </c>
      <c r="E40" s="58" t="s">
        <v>417</v>
      </c>
      <c r="F40" s="58">
        <f>'3b. Feeder Status-2023'!M45</f>
        <v>6</v>
      </c>
      <c r="G40" s="58"/>
      <c r="H40" s="58">
        <v>3</v>
      </c>
      <c r="I40" s="58"/>
      <c r="J40" s="58"/>
      <c r="K40" s="58"/>
      <c r="L40" s="58" t="str">
        <f>IF(F40&lt;&gt;H40,"Y","N")</f>
        <v>Y</v>
      </c>
      <c r="M40" s="58" t="s">
        <v>451</v>
      </c>
      <c r="N40" s="58"/>
      <c r="O40" s="58"/>
      <c r="P40" s="58"/>
      <c r="Q40" s="58"/>
      <c r="R40" s="58"/>
    </row>
    <row r="41" spans="1:18" x14ac:dyDescent="0.3">
      <c r="A41" s="60" t="str">
        <f t="shared" si="0"/>
        <v>Unitil</v>
      </c>
      <c r="B41" s="66" t="s">
        <v>383</v>
      </c>
      <c r="C41" s="66" t="s">
        <v>383</v>
      </c>
      <c r="D41" s="58" t="s">
        <v>414</v>
      </c>
      <c r="E41" s="496"/>
      <c r="F41" s="496"/>
      <c r="G41" s="496"/>
      <c r="H41" s="496"/>
      <c r="I41" s="496"/>
      <c r="J41" s="496"/>
      <c r="K41" s="496"/>
      <c r="L41" s="496"/>
      <c r="M41" s="496"/>
      <c r="N41" s="496"/>
      <c r="O41" s="496"/>
      <c r="P41" s="496"/>
      <c r="Q41" s="496"/>
      <c r="R41" s="496"/>
    </row>
    <row r="42" spans="1:18" x14ac:dyDescent="0.3">
      <c r="A42" s="60" t="str">
        <f t="shared" si="0"/>
        <v>Unitil</v>
      </c>
      <c r="B42" s="66" t="s">
        <v>383</v>
      </c>
      <c r="C42" s="66" t="s">
        <v>383</v>
      </c>
      <c r="D42" s="58" t="s">
        <v>418</v>
      </c>
      <c r="E42" s="58" t="s">
        <v>419</v>
      </c>
      <c r="F42" s="58">
        <f>'3b. Feeder Status-2023'!M47</f>
        <v>1409</v>
      </c>
      <c r="G42" s="58"/>
      <c r="H42" s="58">
        <v>0</v>
      </c>
      <c r="I42" s="58"/>
      <c r="J42" s="58"/>
      <c r="K42" s="58"/>
      <c r="L42" s="58" t="str">
        <f>IF(F42&lt;&gt;H42,"Y","N")</f>
        <v>Y</v>
      </c>
      <c r="M42" s="58" t="s">
        <v>451</v>
      </c>
      <c r="N42" s="58"/>
      <c r="O42" s="58"/>
      <c r="P42" s="58"/>
      <c r="Q42" s="58"/>
      <c r="R42" s="58"/>
    </row>
    <row r="43" spans="1:18" x14ac:dyDescent="0.3">
      <c r="A43" s="60" t="str">
        <f t="shared" si="0"/>
        <v>Unitil</v>
      </c>
      <c r="B43" s="66" t="s">
        <v>383</v>
      </c>
      <c r="C43" s="66" t="s">
        <v>383</v>
      </c>
      <c r="D43" s="58" t="s">
        <v>418</v>
      </c>
      <c r="E43" s="58" t="s">
        <v>420</v>
      </c>
      <c r="F43" s="58">
        <f>'3b. Feeder Status-2023'!M48</f>
        <v>1700</v>
      </c>
      <c r="G43" s="58"/>
      <c r="H43" s="58">
        <v>0</v>
      </c>
      <c r="I43" s="58"/>
      <c r="J43" s="58"/>
      <c r="K43" s="58"/>
      <c r="L43" s="58" t="str">
        <f>IF(F43&lt;&gt;H43,"Y","N")</f>
        <v>Y</v>
      </c>
      <c r="M43" s="58" t="s">
        <v>451</v>
      </c>
      <c r="N43" s="58"/>
      <c r="O43" s="58"/>
      <c r="P43" s="58"/>
      <c r="Q43" s="58"/>
      <c r="R43" s="58"/>
    </row>
    <row r="44" spans="1:18" x14ac:dyDescent="0.3">
      <c r="A44" s="60" t="str">
        <f t="shared" si="0"/>
        <v>Unitil</v>
      </c>
      <c r="B44" s="66" t="s">
        <v>383</v>
      </c>
      <c r="C44" s="66" t="s">
        <v>383</v>
      </c>
      <c r="D44" s="58" t="s">
        <v>418</v>
      </c>
      <c r="E44" s="496"/>
      <c r="F44" s="496"/>
      <c r="G44" s="496"/>
      <c r="H44" s="496"/>
      <c r="I44" s="496"/>
      <c r="J44" s="496"/>
      <c r="K44" s="496"/>
      <c r="L44" s="496"/>
      <c r="M44" s="496"/>
      <c r="N44" s="496"/>
      <c r="O44" s="496"/>
      <c r="P44" s="496"/>
      <c r="Q44" s="496"/>
      <c r="R44" s="496"/>
    </row>
    <row r="45" spans="1:18" x14ac:dyDescent="0.3">
      <c r="A45" s="60" t="str">
        <f t="shared" si="0"/>
        <v>Unitil</v>
      </c>
      <c r="B45" s="66" t="s">
        <v>383</v>
      </c>
      <c r="C45" s="66" t="s">
        <v>383</v>
      </c>
      <c r="D45" s="58" t="s">
        <v>422</v>
      </c>
      <c r="E45" s="58" t="s">
        <v>423</v>
      </c>
      <c r="F45" s="58">
        <f>'3b. Feeder Status-2023'!M50</f>
        <v>1274</v>
      </c>
      <c r="G45" s="58"/>
      <c r="H45" s="58">
        <v>1258</v>
      </c>
      <c r="I45" s="58"/>
      <c r="J45" s="58"/>
      <c r="K45" s="58"/>
      <c r="L45" s="58" t="str">
        <f>IF(F45&lt;&gt;H45,"Y","N")</f>
        <v>Y</v>
      </c>
      <c r="M45" s="58" t="s">
        <v>451</v>
      </c>
      <c r="N45" s="58"/>
      <c r="O45" s="58"/>
      <c r="P45" s="58"/>
      <c r="Q45" s="58"/>
      <c r="R45" s="58"/>
    </row>
    <row r="46" spans="1:18" x14ac:dyDescent="0.3">
      <c r="A46" s="60" t="str">
        <f t="shared" si="0"/>
        <v>Unitil</v>
      </c>
      <c r="B46" s="66" t="s">
        <v>383</v>
      </c>
      <c r="C46" s="66" t="s">
        <v>383</v>
      </c>
      <c r="D46" s="58" t="s">
        <v>422</v>
      </c>
      <c r="E46" s="58" t="s">
        <v>425</v>
      </c>
      <c r="F46" s="58">
        <f>'3b. Feeder Status-2023'!M51</f>
        <v>1253</v>
      </c>
      <c r="G46" s="58"/>
      <c r="H46" s="58">
        <v>574</v>
      </c>
      <c r="I46" s="58"/>
      <c r="J46" s="58"/>
      <c r="K46" s="58"/>
      <c r="L46" s="58" t="str">
        <f>IF(F46&lt;&gt;H46,"Y","N")</f>
        <v>Y</v>
      </c>
      <c r="M46" s="58" t="s">
        <v>451</v>
      </c>
      <c r="N46" s="58"/>
      <c r="O46" s="58"/>
      <c r="P46" s="58"/>
      <c r="Q46" s="58"/>
      <c r="R46" s="58"/>
    </row>
    <row r="47" spans="1:18" x14ac:dyDescent="0.3">
      <c r="A47" s="60" t="str">
        <f t="shared" si="0"/>
        <v>Unitil</v>
      </c>
      <c r="B47" s="66" t="s">
        <v>383</v>
      </c>
      <c r="C47" s="66" t="s">
        <v>383</v>
      </c>
      <c r="D47" s="58" t="s">
        <v>422</v>
      </c>
      <c r="E47" s="58" t="s">
        <v>426</v>
      </c>
      <c r="F47" s="58">
        <f>'3b. Feeder Status-2023'!M52</f>
        <v>1291</v>
      </c>
      <c r="G47" s="58"/>
      <c r="H47" s="58">
        <v>4</v>
      </c>
      <c r="I47" s="58"/>
      <c r="J47" s="58"/>
      <c r="K47" s="58"/>
      <c r="L47" s="58" t="str">
        <f>IF(F47&lt;&gt;H47,"Y","N")</f>
        <v>Y</v>
      </c>
      <c r="M47" s="58" t="s">
        <v>451</v>
      </c>
      <c r="N47" s="58"/>
      <c r="O47" s="58"/>
      <c r="P47" s="58"/>
      <c r="Q47" s="58"/>
      <c r="R47" s="58"/>
    </row>
    <row r="48" spans="1:18" x14ac:dyDescent="0.3">
      <c r="A48" s="60" t="str">
        <f t="shared" si="0"/>
        <v>Unitil</v>
      </c>
      <c r="B48" s="66" t="s">
        <v>383</v>
      </c>
      <c r="C48" s="66" t="s">
        <v>383</v>
      </c>
      <c r="D48" s="58" t="s">
        <v>422</v>
      </c>
      <c r="E48" s="496"/>
      <c r="F48" s="496"/>
      <c r="G48" s="496"/>
      <c r="H48" s="496"/>
      <c r="I48" s="496"/>
      <c r="J48" s="496"/>
      <c r="K48" s="496"/>
      <c r="L48" s="496"/>
      <c r="M48" s="496"/>
      <c r="N48" s="496"/>
      <c r="O48" s="496"/>
      <c r="P48" s="496"/>
      <c r="Q48" s="496"/>
      <c r="R48" s="496"/>
    </row>
    <row r="49" spans="1:18" x14ac:dyDescent="0.3">
      <c r="A49" s="60" t="str">
        <f t="shared" si="0"/>
        <v>Unitil</v>
      </c>
      <c r="B49" s="66" t="s">
        <v>383</v>
      </c>
      <c r="C49" s="66" t="s">
        <v>383</v>
      </c>
      <c r="D49" s="58" t="s">
        <v>427</v>
      </c>
      <c r="E49" s="58" t="s">
        <v>428</v>
      </c>
      <c r="F49" s="58">
        <f>'3b. Feeder Status-2023'!M54</f>
        <v>806</v>
      </c>
      <c r="G49" s="58"/>
      <c r="H49" s="58">
        <v>78</v>
      </c>
      <c r="I49" s="58"/>
      <c r="J49" s="58"/>
      <c r="K49" s="58"/>
      <c r="L49" s="58" t="str">
        <f>IF(F49&lt;&gt;H49,"Y","N")</f>
        <v>Y</v>
      </c>
      <c r="M49" s="58" t="s">
        <v>451</v>
      </c>
      <c r="N49" s="58"/>
      <c r="O49" s="58"/>
      <c r="P49" s="58"/>
      <c r="Q49" s="58"/>
      <c r="R49" s="58"/>
    </row>
    <row r="50" spans="1:18" x14ac:dyDescent="0.3">
      <c r="A50" s="60" t="str">
        <f t="shared" si="0"/>
        <v>Unitil</v>
      </c>
      <c r="B50" s="66" t="s">
        <v>383</v>
      </c>
      <c r="C50" s="66" t="s">
        <v>383</v>
      </c>
      <c r="D50" s="58" t="s">
        <v>427</v>
      </c>
      <c r="E50" s="496"/>
      <c r="F50" s="496"/>
      <c r="G50" s="496"/>
      <c r="H50" s="496"/>
      <c r="I50" s="496"/>
      <c r="J50" s="496"/>
      <c r="K50" s="496"/>
      <c r="L50" s="496"/>
      <c r="M50" s="496"/>
      <c r="N50" s="496"/>
      <c r="O50" s="496"/>
      <c r="P50" s="496"/>
      <c r="Q50" s="496"/>
      <c r="R50" s="496"/>
    </row>
    <row r="51" spans="1:18" x14ac:dyDescent="0.3">
      <c r="A51" s="60" t="str">
        <f t="shared" si="0"/>
        <v>Unitil</v>
      </c>
      <c r="B51" s="66" t="s">
        <v>383</v>
      </c>
      <c r="C51" s="66" t="s">
        <v>383</v>
      </c>
      <c r="D51" s="58" t="s">
        <v>430</v>
      </c>
      <c r="E51" s="58" t="s">
        <v>431</v>
      </c>
      <c r="F51" s="58">
        <f>'3b. Feeder Status-2023'!M56</f>
        <v>1980</v>
      </c>
      <c r="G51" s="58"/>
      <c r="H51" s="58">
        <v>250</v>
      </c>
      <c r="I51" s="58"/>
      <c r="J51" s="58"/>
      <c r="K51" s="58"/>
      <c r="L51" s="58" t="str">
        <f>IF(F51&lt;&gt;H51,"Y","N")</f>
        <v>Y</v>
      </c>
      <c r="M51" s="58" t="s">
        <v>451</v>
      </c>
      <c r="N51" s="58"/>
      <c r="O51" s="58"/>
      <c r="P51" s="58"/>
      <c r="Q51" s="58"/>
      <c r="R51" s="58"/>
    </row>
    <row r="52" spans="1:18" x14ac:dyDescent="0.3">
      <c r="A52" s="60" t="str">
        <f t="shared" si="0"/>
        <v>Unitil</v>
      </c>
      <c r="B52" s="66" t="s">
        <v>383</v>
      </c>
      <c r="C52" s="66" t="s">
        <v>383</v>
      </c>
      <c r="D52" s="58" t="s">
        <v>430</v>
      </c>
      <c r="E52" s="58" t="s">
        <v>432</v>
      </c>
      <c r="F52" s="58">
        <f>'3b. Feeder Status-2023'!M57</f>
        <v>1337</v>
      </c>
      <c r="G52" s="58"/>
      <c r="H52" s="58">
        <v>0</v>
      </c>
      <c r="I52" s="58"/>
      <c r="J52" s="58"/>
      <c r="K52" s="58"/>
      <c r="L52" s="58" t="str">
        <f>IF(F52&lt;&gt;H52,"Y","N")</f>
        <v>Y</v>
      </c>
      <c r="M52" s="58" t="s">
        <v>451</v>
      </c>
      <c r="N52" s="58"/>
      <c r="O52" s="58"/>
      <c r="P52" s="58"/>
      <c r="Q52" s="58"/>
      <c r="R52" s="58"/>
    </row>
    <row r="53" spans="1:18" x14ac:dyDescent="0.3">
      <c r="A53" s="60" t="str">
        <f t="shared" si="0"/>
        <v>Unitil</v>
      </c>
      <c r="B53" s="66" t="s">
        <v>383</v>
      </c>
      <c r="C53" s="66" t="s">
        <v>383</v>
      </c>
      <c r="D53" s="58" t="s">
        <v>430</v>
      </c>
      <c r="E53" s="496"/>
      <c r="F53" s="496"/>
      <c r="G53" s="496"/>
      <c r="H53" s="496"/>
      <c r="I53" s="496"/>
      <c r="J53" s="496"/>
      <c r="K53" s="496"/>
      <c r="L53" s="496"/>
      <c r="M53" s="496"/>
      <c r="N53" s="496"/>
      <c r="O53" s="496"/>
      <c r="P53" s="496"/>
      <c r="Q53" s="496"/>
      <c r="R53" s="496"/>
    </row>
    <row r="54" spans="1:18" x14ac:dyDescent="0.3">
      <c r="A54" s="60" t="str">
        <f t="shared" si="0"/>
        <v>Unitil</v>
      </c>
      <c r="B54" s="66" t="s">
        <v>383</v>
      </c>
      <c r="C54" s="66" t="s">
        <v>383</v>
      </c>
      <c r="D54" s="58" t="s">
        <v>434</v>
      </c>
      <c r="E54" s="58" t="s">
        <v>435</v>
      </c>
      <c r="F54" s="58">
        <f>'3b. Feeder Status-2023'!M59</f>
        <v>49</v>
      </c>
      <c r="G54" s="58"/>
      <c r="H54" s="58">
        <v>67</v>
      </c>
      <c r="I54" s="58"/>
      <c r="J54" s="58"/>
      <c r="K54" s="58"/>
      <c r="L54" s="58" t="str">
        <f t="shared" ref="L54:L59" si="2">IF(F54&lt;&gt;H54,"Y","N")</f>
        <v>Y</v>
      </c>
      <c r="M54" s="58" t="s">
        <v>451</v>
      </c>
      <c r="N54" s="58"/>
      <c r="O54" s="58"/>
      <c r="P54" s="58"/>
      <c r="Q54" s="58"/>
      <c r="R54" s="58"/>
    </row>
    <row r="55" spans="1:18" x14ac:dyDescent="0.3">
      <c r="A55" s="60" t="str">
        <f t="shared" si="0"/>
        <v>Unitil</v>
      </c>
      <c r="B55" s="66" t="s">
        <v>383</v>
      </c>
      <c r="C55" s="66" t="s">
        <v>383</v>
      </c>
      <c r="D55" s="58" t="s">
        <v>434</v>
      </c>
      <c r="E55" s="58" t="s">
        <v>436</v>
      </c>
      <c r="F55" s="58">
        <f>'3b. Feeder Status-2023'!M60</f>
        <v>404</v>
      </c>
      <c r="G55" s="58"/>
      <c r="H55" s="58">
        <v>372</v>
      </c>
      <c r="I55" s="58"/>
      <c r="J55" s="58"/>
      <c r="K55" s="58"/>
      <c r="L55" s="58" t="str">
        <f t="shared" si="2"/>
        <v>Y</v>
      </c>
      <c r="M55" s="58" t="s">
        <v>451</v>
      </c>
      <c r="N55" s="58"/>
      <c r="O55" s="58"/>
      <c r="P55" s="58"/>
      <c r="Q55" s="58"/>
      <c r="R55" s="58"/>
    </row>
    <row r="56" spans="1:18" x14ac:dyDescent="0.3">
      <c r="A56" s="60" t="str">
        <f t="shared" si="0"/>
        <v>Unitil</v>
      </c>
      <c r="B56" s="66" t="s">
        <v>383</v>
      </c>
      <c r="C56" s="66" t="s">
        <v>383</v>
      </c>
      <c r="D56" s="58" t="s">
        <v>434</v>
      </c>
      <c r="E56" s="58" t="s">
        <v>437</v>
      </c>
      <c r="F56" s="58">
        <f>'3b. Feeder Status-2023'!M61</f>
        <v>1593</v>
      </c>
      <c r="G56" s="58"/>
      <c r="H56" s="58">
        <v>1507</v>
      </c>
      <c r="I56" s="58"/>
      <c r="J56" s="58"/>
      <c r="K56" s="58"/>
      <c r="L56" s="58" t="str">
        <f t="shared" si="2"/>
        <v>Y</v>
      </c>
      <c r="M56" s="58" t="s">
        <v>451</v>
      </c>
      <c r="N56" s="58"/>
      <c r="O56" s="58"/>
      <c r="P56" s="58"/>
      <c r="Q56" s="58"/>
      <c r="R56" s="58"/>
    </row>
    <row r="57" spans="1:18" x14ac:dyDescent="0.3">
      <c r="A57" s="60" t="str">
        <f t="shared" si="0"/>
        <v>Unitil</v>
      </c>
      <c r="B57" s="66" t="s">
        <v>383</v>
      </c>
      <c r="C57" s="66" t="s">
        <v>383</v>
      </c>
      <c r="D57" s="58" t="s">
        <v>434</v>
      </c>
      <c r="E57" s="58" t="s">
        <v>439</v>
      </c>
      <c r="F57" s="58">
        <f>'3b. Feeder Status-2023'!M62</f>
        <v>1855</v>
      </c>
      <c r="G57" s="58"/>
      <c r="H57" s="58">
        <v>1646</v>
      </c>
      <c r="I57" s="58"/>
      <c r="J57" s="58"/>
      <c r="K57" s="58"/>
      <c r="L57" s="58" t="str">
        <f t="shared" si="2"/>
        <v>Y</v>
      </c>
      <c r="M57" s="58" t="s">
        <v>451</v>
      </c>
      <c r="N57" s="58"/>
      <c r="O57" s="58"/>
      <c r="P57" s="58"/>
      <c r="Q57" s="58"/>
      <c r="R57" s="58"/>
    </row>
    <row r="58" spans="1:18" x14ac:dyDescent="0.3">
      <c r="A58" s="60" t="str">
        <f t="shared" si="0"/>
        <v>Unitil</v>
      </c>
      <c r="B58" s="66" t="s">
        <v>383</v>
      </c>
      <c r="C58" s="66" t="s">
        <v>383</v>
      </c>
      <c r="D58" s="58" t="s">
        <v>434</v>
      </c>
      <c r="E58" s="58">
        <v>1303</v>
      </c>
      <c r="F58" s="58">
        <v>0</v>
      </c>
      <c r="G58" s="58"/>
      <c r="H58" s="58">
        <v>0</v>
      </c>
      <c r="I58" s="58"/>
      <c r="J58" s="58"/>
      <c r="K58" s="58"/>
      <c r="L58" s="58" t="str">
        <f t="shared" si="2"/>
        <v>N</v>
      </c>
      <c r="M58" s="58" t="s">
        <v>451</v>
      </c>
      <c r="N58" s="58"/>
      <c r="O58" s="58"/>
      <c r="P58" s="58"/>
      <c r="Q58" s="58"/>
      <c r="R58" s="58"/>
    </row>
    <row r="59" spans="1:18" x14ac:dyDescent="0.3">
      <c r="A59" s="60" t="str">
        <f t="shared" si="0"/>
        <v>Unitil</v>
      </c>
      <c r="B59" s="66" t="s">
        <v>383</v>
      </c>
      <c r="C59" s="66" t="s">
        <v>383</v>
      </c>
      <c r="D59" s="58" t="s">
        <v>434</v>
      </c>
      <c r="E59" s="58">
        <v>1309</v>
      </c>
      <c r="F59" s="58">
        <v>0</v>
      </c>
      <c r="G59" s="58"/>
      <c r="H59" s="58">
        <v>0</v>
      </c>
      <c r="I59" s="58"/>
      <c r="J59" s="58"/>
      <c r="K59" s="58"/>
      <c r="L59" s="58" t="str">
        <f t="shared" si="2"/>
        <v>N</v>
      </c>
      <c r="M59" s="58" t="s">
        <v>451</v>
      </c>
      <c r="N59" s="58"/>
      <c r="O59" s="58"/>
      <c r="P59" s="58"/>
      <c r="Q59" s="58"/>
      <c r="R59" s="58"/>
    </row>
    <row r="60" spans="1:18" x14ac:dyDescent="0.3">
      <c r="A60" s="60" t="str">
        <f t="shared" si="0"/>
        <v>Unitil</v>
      </c>
      <c r="B60" s="66" t="s">
        <v>383</v>
      </c>
      <c r="C60" s="66" t="s">
        <v>383</v>
      </c>
      <c r="D60" s="58" t="s">
        <v>434</v>
      </c>
      <c r="E60" s="496"/>
      <c r="F60" s="496"/>
      <c r="G60" s="496"/>
      <c r="H60" s="496"/>
      <c r="I60" s="496"/>
      <c r="J60" s="496"/>
      <c r="K60" s="496"/>
      <c r="L60" s="496"/>
      <c r="M60" s="496"/>
      <c r="N60" s="496"/>
      <c r="O60" s="496"/>
      <c r="P60" s="496"/>
      <c r="Q60" s="496"/>
      <c r="R60" s="496"/>
    </row>
    <row r="61" spans="1:18" x14ac:dyDescent="0.3">
      <c r="A61" s="60" t="str">
        <f t="shared" si="0"/>
        <v>Unitil</v>
      </c>
      <c r="B61" s="66" t="s">
        <v>383</v>
      </c>
      <c r="C61" s="66" t="s">
        <v>383</v>
      </c>
      <c r="D61" s="58" t="s">
        <v>440</v>
      </c>
      <c r="E61" s="58" t="s">
        <v>441</v>
      </c>
      <c r="F61" s="58">
        <f>'3b. Feeder Status-2023'!M66</f>
        <v>660</v>
      </c>
      <c r="G61" s="58"/>
      <c r="H61" s="58">
        <v>660</v>
      </c>
      <c r="I61" s="58"/>
      <c r="J61" s="58"/>
      <c r="K61" s="58"/>
      <c r="L61" s="58" t="str">
        <f>IF(F61&lt;&gt;H61,"Y","N")</f>
        <v>N</v>
      </c>
      <c r="M61" s="58" t="s">
        <v>451</v>
      </c>
      <c r="N61" s="58"/>
      <c r="O61" s="58"/>
      <c r="P61" s="58"/>
      <c r="Q61" s="58"/>
      <c r="R61" s="58"/>
    </row>
    <row r="62" spans="1:18" x14ac:dyDescent="0.3">
      <c r="A62" s="60" t="str">
        <f t="shared" si="0"/>
        <v>Unitil</v>
      </c>
      <c r="B62" s="66" t="s">
        <v>383</v>
      </c>
      <c r="C62" s="66" t="s">
        <v>383</v>
      </c>
      <c r="D62" s="58" t="s">
        <v>440</v>
      </c>
      <c r="E62" s="58" t="s">
        <v>442</v>
      </c>
      <c r="F62" s="58">
        <f>'3b. Feeder Status-2023'!M67</f>
        <v>1</v>
      </c>
      <c r="G62" s="58"/>
      <c r="H62" s="58">
        <v>1</v>
      </c>
      <c r="I62" s="58"/>
      <c r="J62" s="58"/>
      <c r="K62" s="58"/>
      <c r="L62" s="58" t="str">
        <f>IF(F62&lt;&gt;H62,"Y","N")</f>
        <v>N</v>
      </c>
      <c r="M62" s="58" t="s">
        <v>451</v>
      </c>
      <c r="N62" s="58"/>
      <c r="O62" s="58"/>
      <c r="P62" s="58"/>
      <c r="Q62" s="58"/>
      <c r="R62" s="58"/>
    </row>
    <row r="63" spans="1:18" x14ac:dyDescent="0.3">
      <c r="A63" s="60" t="str">
        <f t="shared" si="0"/>
        <v>Unitil</v>
      </c>
      <c r="B63" s="66" t="s">
        <v>383</v>
      </c>
      <c r="C63" s="66" t="s">
        <v>383</v>
      </c>
      <c r="D63" s="58" t="s">
        <v>440</v>
      </c>
      <c r="E63" s="58" t="s">
        <v>443</v>
      </c>
      <c r="F63" s="58">
        <v>0</v>
      </c>
      <c r="G63" s="58"/>
      <c r="H63" s="58">
        <v>0</v>
      </c>
      <c r="I63" s="58"/>
      <c r="J63" s="58"/>
      <c r="K63" s="58"/>
      <c r="L63" s="58" t="str">
        <f>IF(F63&lt;&gt;H63,"Y","N")</f>
        <v>N</v>
      </c>
      <c r="M63" s="58"/>
      <c r="N63" s="58"/>
      <c r="O63" s="58"/>
      <c r="P63" s="58"/>
      <c r="Q63" s="58"/>
      <c r="R63" s="58"/>
    </row>
    <row r="64" spans="1:18" x14ac:dyDescent="0.3">
      <c r="A64" s="60" t="str">
        <f t="shared" si="0"/>
        <v>Unitil</v>
      </c>
      <c r="B64" s="66" t="s">
        <v>383</v>
      </c>
      <c r="C64" s="66" t="s">
        <v>383</v>
      </c>
      <c r="D64" s="58" t="s">
        <v>440</v>
      </c>
      <c r="E64" s="58" t="s">
        <v>444</v>
      </c>
      <c r="F64" s="58">
        <f>'3b. Feeder Status-2023'!M69</f>
        <v>194</v>
      </c>
      <c r="G64" s="58"/>
      <c r="H64" s="58">
        <v>141</v>
      </c>
      <c r="I64" s="58"/>
      <c r="J64" s="58"/>
      <c r="K64" s="58"/>
      <c r="L64" s="58" t="str">
        <f>IF(F64&lt;&gt;H64,"Y","N")</f>
        <v>Y</v>
      </c>
      <c r="M64" s="58" t="s">
        <v>451</v>
      </c>
      <c r="N64" s="58"/>
      <c r="O64" s="58"/>
      <c r="P64" s="58"/>
      <c r="Q64" s="58"/>
      <c r="R64" s="58"/>
    </row>
    <row r="65" spans="1:18" x14ac:dyDescent="0.3">
      <c r="A65" s="60" t="str">
        <f t="shared" si="0"/>
        <v>Unitil</v>
      </c>
      <c r="B65" s="66" t="s">
        <v>383</v>
      </c>
      <c r="C65" s="66" t="s">
        <v>383</v>
      </c>
      <c r="D65" s="58" t="s">
        <v>440</v>
      </c>
      <c r="E65" s="58" t="s">
        <v>445</v>
      </c>
      <c r="F65" s="58">
        <f>'3b. Feeder Status-2023'!M70</f>
        <v>151</v>
      </c>
      <c r="G65" s="58"/>
      <c r="H65" s="58">
        <v>151</v>
      </c>
      <c r="I65" s="58"/>
      <c r="J65" s="58"/>
      <c r="K65" s="58"/>
      <c r="L65" s="58" t="str">
        <f>IF(F65&lt;&gt;H65,"Y","N")</f>
        <v>N</v>
      </c>
      <c r="M65" s="58" t="s">
        <v>451</v>
      </c>
      <c r="N65" s="58"/>
      <c r="O65" s="58"/>
      <c r="P65" s="58"/>
      <c r="Q65" s="58"/>
      <c r="R65" s="58"/>
    </row>
    <row r="66" spans="1:18" x14ac:dyDescent="0.3">
      <c r="A66" s="60" t="str">
        <f t="shared" si="0"/>
        <v>Unitil</v>
      </c>
      <c r="B66" s="66" t="s">
        <v>383</v>
      </c>
      <c r="C66" s="66" t="s">
        <v>383</v>
      </c>
      <c r="D66" s="58" t="s">
        <v>440</v>
      </c>
      <c r="E66" s="496"/>
      <c r="F66" s="496"/>
      <c r="G66" s="496"/>
      <c r="H66" s="496"/>
      <c r="I66" s="496"/>
      <c r="J66" s="496"/>
      <c r="K66" s="496"/>
      <c r="L66" s="496"/>
      <c r="M66" s="496"/>
      <c r="N66" s="496"/>
      <c r="O66" s="496"/>
      <c r="P66" s="496"/>
      <c r="Q66" s="496"/>
      <c r="R66" s="496"/>
    </row>
  </sheetData>
  <mergeCells count="8">
    <mergeCell ref="B1:C1"/>
    <mergeCell ref="F7:M7"/>
    <mergeCell ref="N7:O7"/>
    <mergeCell ref="P7:Q7"/>
    <mergeCell ref="A8:E8"/>
    <mergeCell ref="F8:L8"/>
    <mergeCell ref="N8:O8"/>
    <mergeCell ref="P8:Q8"/>
  </mergeCells>
  <pageMargins left="0.7" right="0.7" top="0.75" bottom="0.75" header="0.3" footer="0.3"/>
  <legacy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8573B-410B-4A63-A29D-6E612DC01D58}">
  <dimension ref="A1:R66"/>
  <sheetViews>
    <sheetView workbookViewId="0">
      <selection activeCell="S57" sqref="S57"/>
    </sheetView>
  </sheetViews>
  <sheetFormatPr defaultColWidth="9.109375" defaultRowHeight="14.4" x14ac:dyDescent="0.3"/>
  <cols>
    <col min="1" max="1" width="18.88671875" style="123" customWidth="1"/>
    <col min="2" max="2" width="15.109375" style="123" customWidth="1"/>
    <col min="3" max="3" width="14.33203125" style="123" customWidth="1"/>
    <col min="4" max="5" width="19.33203125" style="123" customWidth="1"/>
    <col min="6" max="13" width="26.33203125" style="123" customWidth="1"/>
    <col min="14" max="18" width="43.88671875" style="123" customWidth="1"/>
    <col min="19" max="16384" width="9.109375" style="123"/>
  </cols>
  <sheetData>
    <row r="1" spans="1:18" x14ac:dyDescent="0.3">
      <c r="A1" s="1" t="s">
        <v>533</v>
      </c>
      <c r="B1" s="1010" t="s">
        <v>512</v>
      </c>
      <c r="C1" s="1011"/>
      <c r="D1" s="250" t="s">
        <v>2</v>
      </c>
      <c r="E1" s="250" t="s">
        <v>69</v>
      </c>
    </row>
    <row r="2" spans="1:18" x14ac:dyDescent="0.3">
      <c r="A2" s="1"/>
      <c r="B2" s="1"/>
      <c r="C2" s="192"/>
      <c r="D2" s="250" t="s">
        <v>4</v>
      </c>
      <c r="E2" s="783">
        <v>2024</v>
      </c>
    </row>
    <row r="3" spans="1:18" x14ac:dyDescent="0.3">
      <c r="A3" s="1"/>
      <c r="B3" s="124"/>
      <c r="C3" s="2"/>
      <c r="D3" s="2"/>
    </row>
    <row r="6" spans="1:18" ht="15" thickBot="1" x14ac:dyDescent="0.35">
      <c r="A6" s="784"/>
      <c r="B6" s="784"/>
      <c r="C6" s="784"/>
      <c r="D6" s="784"/>
      <c r="E6" s="784"/>
      <c r="F6" s="784"/>
      <c r="G6" s="784"/>
      <c r="H6" s="784"/>
      <c r="I6" s="784"/>
      <c r="J6" s="784"/>
      <c r="K6" s="784"/>
      <c r="L6" s="784"/>
      <c r="M6" s="784"/>
      <c r="N6" s="784"/>
      <c r="O6" s="784"/>
      <c r="P6" s="784"/>
      <c r="Q6" s="784"/>
      <c r="R6" s="784"/>
    </row>
    <row r="7" spans="1:18" ht="15" thickBot="1" x14ac:dyDescent="0.35">
      <c r="A7" s="784"/>
      <c r="B7" s="784"/>
      <c r="C7" s="784"/>
      <c r="D7" s="784"/>
      <c r="E7" s="784"/>
      <c r="F7" s="1012" t="s">
        <v>513</v>
      </c>
      <c r="G7" s="1013"/>
      <c r="H7" s="1013"/>
      <c r="I7" s="1013"/>
      <c r="J7" s="1013"/>
      <c r="K7" s="1013"/>
      <c r="L7" s="1013"/>
      <c r="M7" s="1014"/>
      <c r="N7" s="1015" t="s">
        <v>514</v>
      </c>
      <c r="O7" s="1016"/>
      <c r="P7" s="1015" t="s">
        <v>515</v>
      </c>
      <c r="Q7" s="1016"/>
      <c r="R7" s="785" t="s">
        <v>516</v>
      </c>
    </row>
    <row r="8" spans="1:18" ht="58.5" customHeight="1" thickBot="1" x14ac:dyDescent="0.35">
      <c r="A8" s="1017" t="s">
        <v>53</v>
      </c>
      <c r="B8" s="1018"/>
      <c r="C8" s="1018"/>
      <c r="D8" s="1018"/>
      <c r="E8" s="1019"/>
      <c r="F8" s="1020"/>
      <c r="G8" s="1021"/>
      <c r="H8" s="1021"/>
      <c r="I8" s="1021"/>
      <c r="J8" s="1021"/>
      <c r="K8" s="1021"/>
      <c r="L8" s="1021"/>
      <c r="M8" s="786"/>
      <c r="N8" s="1022" t="s">
        <v>517</v>
      </c>
      <c r="O8" s="1023"/>
      <c r="P8" s="1022" t="s">
        <v>518</v>
      </c>
      <c r="Q8" s="1023"/>
      <c r="R8" s="787" t="s">
        <v>519</v>
      </c>
    </row>
    <row r="9" spans="1:18" ht="43.2" x14ac:dyDescent="0.3">
      <c r="A9" s="788" t="s">
        <v>2</v>
      </c>
      <c r="B9" s="789" t="s">
        <v>12</v>
      </c>
      <c r="C9" s="789" t="s">
        <v>13</v>
      </c>
      <c r="D9" s="790" t="s">
        <v>14</v>
      </c>
      <c r="E9" s="791" t="s">
        <v>16</v>
      </c>
      <c r="F9" s="792" t="s">
        <v>83</v>
      </c>
      <c r="G9" s="792" t="s">
        <v>520</v>
      </c>
      <c r="H9" s="792" t="s">
        <v>521</v>
      </c>
      <c r="I9" s="792" t="s">
        <v>522</v>
      </c>
      <c r="J9" s="792" t="s">
        <v>523</v>
      </c>
      <c r="K9" s="792" t="s">
        <v>524</v>
      </c>
      <c r="L9" s="792" t="s">
        <v>525</v>
      </c>
      <c r="M9" s="792" t="s">
        <v>526</v>
      </c>
      <c r="N9" s="793" t="s">
        <v>527</v>
      </c>
      <c r="O9" s="793" t="s">
        <v>528</v>
      </c>
      <c r="P9" s="794" t="s">
        <v>529</v>
      </c>
      <c r="Q9" s="794" t="s">
        <v>530</v>
      </c>
      <c r="R9" s="795" t="s">
        <v>531</v>
      </c>
    </row>
    <row r="10" spans="1:18" x14ac:dyDescent="0.3">
      <c r="A10" s="60" t="str">
        <f t="shared" ref="A10:A66" si="0">$E$1</f>
        <v>Unitil</v>
      </c>
      <c r="B10" s="66" t="s">
        <v>383</v>
      </c>
      <c r="C10" s="66" t="s">
        <v>383</v>
      </c>
      <c r="D10" s="58" t="s">
        <v>384</v>
      </c>
      <c r="E10" s="58" t="s">
        <v>386</v>
      </c>
      <c r="F10" s="796"/>
      <c r="G10" s="796"/>
      <c r="H10" s="796"/>
      <c r="I10" s="797"/>
      <c r="J10" s="797"/>
      <c r="K10" s="797"/>
      <c r="L10" s="797"/>
      <c r="M10" s="797"/>
      <c r="N10" s="797"/>
      <c r="O10" s="797"/>
      <c r="P10" s="797"/>
      <c r="Q10" s="797"/>
      <c r="R10" s="797"/>
    </row>
    <row r="11" spans="1:18" x14ac:dyDescent="0.3">
      <c r="A11" s="60" t="str">
        <f t="shared" si="0"/>
        <v>Unitil</v>
      </c>
      <c r="B11" s="66" t="s">
        <v>383</v>
      </c>
      <c r="C11" s="66" t="s">
        <v>383</v>
      </c>
      <c r="D11" s="58" t="s">
        <v>384</v>
      </c>
      <c r="E11" s="58" t="s">
        <v>388</v>
      </c>
      <c r="F11" s="796"/>
      <c r="G11" s="796"/>
      <c r="H11" s="796"/>
      <c r="I11" s="797"/>
      <c r="J11" s="797"/>
      <c r="K11" s="797"/>
      <c r="L11" s="797"/>
      <c r="M11" s="797"/>
      <c r="N11" s="797"/>
      <c r="O11" s="797"/>
      <c r="P11" s="797"/>
      <c r="Q11" s="797"/>
      <c r="R11" s="797"/>
    </row>
    <row r="12" spans="1:18" x14ac:dyDescent="0.3">
      <c r="A12" s="60" t="str">
        <f t="shared" si="0"/>
        <v>Unitil</v>
      </c>
      <c r="B12" s="66" t="s">
        <v>383</v>
      </c>
      <c r="C12" s="66" t="s">
        <v>383</v>
      </c>
      <c r="D12" s="58" t="s">
        <v>384</v>
      </c>
      <c r="E12" s="58" t="s">
        <v>389</v>
      </c>
      <c r="F12" s="797"/>
      <c r="G12" s="797"/>
      <c r="H12" s="797"/>
      <c r="I12" s="797"/>
      <c r="J12" s="797"/>
      <c r="K12" s="797"/>
      <c r="L12" s="797"/>
      <c r="M12" s="797"/>
      <c r="N12" s="797"/>
      <c r="O12" s="797"/>
      <c r="P12" s="797"/>
      <c r="Q12" s="797"/>
      <c r="R12" s="797"/>
    </row>
    <row r="13" spans="1:18" x14ac:dyDescent="0.3">
      <c r="A13" s="60" t="str">
        <f t="shared" si="0"/>
        <v>Unitil</v>
      </c>
      <c r="B13" s="66" t="s">
        <v>383</v>
      </c>
      <c r="C13" s="66" t="s">
        <v>383</v>
      </c>
      <c r="D13" s="58" t="s">
        <v>384</v>
      </c>
      <c r="E13" s="58" t="s">
        <v>390</v>
      </c>
      <c r="F13" s="796"/>
      <c r="G13" s="796"/>
      <c r="H13" s="796"/>
      <c r="I13" s="797"/>
      <c r="J13" s="797"/>
      <c r="K13" s="797"/>
      <c r="L13" s="797"/>
      <c r="M13" s="797"/>
      <c r="N13" s="797"/>
      <c r="O13" s="797"/>
      <c r="P13" s="797"/>
      <c r="Q13" s="797"/>
      <c r="R13" s="797"/>
    </row>
    <row r="14" spans="1:18" x14ac:dyDescent="0.3">
      <c r="A14" s="60" t="str">
        <f>$E$1</f>
        <v>Unitil</v>
      </c>
      <c r="B14" s="66" t="s">
        <v>383</v>
      </c>
      <c r="C14" s="66" t="s">
        <v>383</v>
      </c>
      <c r="D14" s="58" t="s">
        <v>384</v>
      </c>
      <c r="E14" s="496"/>
      <c r="F14" s="784"/>
      <c r="G14" s="784"/>
      <c r="H14" s="784"/>
      <c r="I14" s="784"/>
      <c r="J14" s="784"/>
      <c r="K14" s="784"/>
      <c r="L14" s="784"/>
      <c r="M14" s="784"/>
      <c r="N14" s="784"/>
      <c r="O14" s="784"/>
      <c r="P14" s="784"/>
      <c r="Q14" s="784"/>
      <c r="R14" s="784"/>
    </row>
    <row r="15" spans="1:18" x14ac:dyDescent="0.3">
      <c r="A15" s="60" t="str">
        <f t="shared" si="0"/>
        <v>Unitil</v>
      </c>
      <c r="B15" s="66" t="s">
        <v>383</v>
      </c>
      <c r="C15" s="66" t="s">
        <v>383</v>
      </c>
      <c r="D15" s="58" t="s">
        <v>391</v>
      </c>
      <c r="E15" s="58" t="s">
        <v>392</v>
      </c>
    </row>
    <row r="16" spans="1:18" x14ac:dyDescent="0.3">
      <c r="A16" s="60" t="str">
        <f t="shared" si="0"/>
        <v>Unitil</v>
      </c>
      <c r="B16" s="66" t="s">
        <v>383</v>
      </c>
      <c r="C16" s="66" t="s">
        <v>383</v>
      </c>
      <c r="D16" s="58" t="s">
        <v>391</v>
      </c>
      <c r="E16" s="58" t="s">
        <v>393</v>
      </c>
    </row>
    <row r="17" spans="1:5" x14ac:dyDescent="0.3">
      <c r="A17" s="60" t="str">
        <f t="shared" si="0"/>
        <v>Unitil</v>
      </c>
      <c r="B17" s="66" t="s">
        <v>383</v>
      </c>
      <c r="C17" s="66" t="s">
        <v>383</v>
      </c>
      <c r="D17" s="58" t="s">
        <v>391</v>
      </c>
      <c r="E17" s="58" t="s">
        <v>394</v>
      </c>
    </row>
    <row r="18" spans="1:5" x14ac:dyDescent="0.3">
      <c r="A18" s="60" t="str">
        <f t="shared" si="0"/>
        <v>Unitil</v>
      </c>
      <c r="B18" s="66" t="s">
        <v>383</v>
      </c>
      <c r="C18" s="66" t="s">
        <v>383</v>
      </c>
      <c r="D18" s="58" t="s">
        <v>391</v>
      </c>
      <c r="E18" s="496"/>
    </row>
    <row r="19" spans="1:5" x14ac:dyDescent="0.3">
      <c r="A19" s="60" t="str">
        <f t="shared" si="0"/>
        <v>Unitil</v>
      </c>
      <c r="B19" s="66" t="s">
        <v>383</v>
      </c>
      <c r="C19" s="66" t="s">
        <v>383</v>
      </c>
      <c r="D19" s="58" t="s">
        <v>395</v>
      </c>
      <c r="E19" s="58" t="s">
        <v>396</v>
      </c>
    </row>
    <row r="20" spans="1:5" x14ac:dyDescent="0.3">
      <c r="A20" s="60" t="str">
        <f t="shared" si="0"/>
        <v>Unitil</v>
      </c>
      <c r="B20" s="66" t="s">
        <v>383</v>
      </c>
      <c r="C20" s="66" t="s">
        <v>383</v>
      </c>
      <c r="D20" s="58" t="s">
        <v>395</v>
      </c>
      <c r="E20" s="58" t="s">
        <v>397</v>
      </c>
    </row>
    <row r="21" spans="1:5" x14ac:dyDescent="0.3">
      <c r="A21" s="60" t="str">
        <f t="shared" si="0"/>
        <v>Unitil</v>
      </c>
      <c r="B21" s="66" t="s">
        <v>383</v>
      </c>
      <c r="C21" s="66" t="s">
        <v>383</v>
      </c>
      <c r="D21" s="58" t="s">
        <v>395</v>
      </c>
      <c r="E21" s="58" t="s">
        <v>398</v>
      </c>
    </row>
    <row r="22" spans="1:5" x14ac:dyDescent="0.3">
      <c r="A22" s="60" t="str">
        <f t="shared" si="0"/>
        <v>Unitil</v>
      </c>
      <c r="B22" s="66" t="s">
        <v>383</v>
      </c>
      <c r="C22" s="66" t="s">
        <v>383</v>
      </c>
      <c r="D22" s="58" t="s">
        <v>395</v>
      </c>
      <c r="E22" s="58" t="s">
        <v>400</v>
      </c>
    </row>
    <row r="23" spans="1:5" x14ac:dyDescent="0.3">
      <c r="A23" s="60" t="str">
        <f t="shared" si="0"/>
        <v>Unitil</v>
      </c>
      <c r="B23" s="66" t="s">
        <v>383</v>
      </c>
      <c r="C23" s="66" t="s">
        <v>383</v>
      </c>
      <c r="D23" s="58" t="s">
        <v>395</v>
      </c>
      <c r="E23" s="496"/>
    </row>
    <row r="24" spans="1:5" x14ac:dyDescent="0.3">
      <c r="A24" s="60" t="str">
        <f t="shared" si="0"/>
        <v>Unitil</v>
      </c>
      <c r="B24" s="66" t="s">
        <v>383</v>
      </c>
      <c r="C24" s="66" t="s">
        <v>383</v>
      </c>
      <c r="D24" s="58" t="s">
        <v>401</v>
      </c>
      <c r="E24" s="58" t="s">
        <v>402</v>
      </c>
    </row>
    <row r="25" spans="1:5" x14ac:dyDescent="0.3">
      <c r="A25" s="60" t="str">
        <f t="shared" si="0"/>
        <v>Unitil</v>
      </c>
      <c r="B25" s="66" t="s">
        <v>383</v>
      </c>
      <c r="C25" s="66" t="s">
        <v>383</v>
      </c>
      <c r="D25" s="58" t="s">
        <v>401</v>
      </c>
      <c r="E25" s="496"/>
    </row>
    <row r="26" spans="1:5" x14ac:dyDescent="0.3">
      <c r="A26" s="60" t="str">
        <f t="shared" si="0"/>
        <v>Unitil</v>
      </c>
      <c r="B26" s="66" t="s">
        <v>383</v>
      </c>
      <c r="C26" s="66" t="s">
        <v>383</v>
      </c>
      <c r="D26" s="58" t="s">
        <v>403</v>
      </c>
      <c r="E26" s="58">
        <v>1341</v>
      </c>
    </row>
    <row r="27" spans="1:5" x14ac:dyDescent="0.3">
      <c r="A27" s="60" t="str">
        <f t="shared" si="0"/>
        <v>Unitil</v>
      </c>
      <c r="B27" s="66" t="s">
        <v>383</v>
      </c>
      <c r="C27" s="66" t="s">
        <v>383</v>
      </c>
      <c r="D27" s="58" t="s">
        <v>403</v>
      </c>
      <c r="E27" s="496"/>
    </row>
    <row r="28" spans="1:5" x14ac:dyDescent="0.3">
      <c r="A28" s="60" t="str">
        <f t="shared" si="0"/>
        <v>Unitil</v>
      </c>
      <c r="B28" s="66" t="s">
        <v>383</v>
      </c>
      <c r="C28" s="66" t="s">
        <v>383</v>
      </c>
      <c r="D28" s="58" t="s">
        <v>404</v>
      </c>
      <c r="E28" s="58" t="s">
        <v>405</v>
      </c>
    </row>
    <row r="29" spans="1:5" x14ac:dyDescent="0.3">
      <c r="A29" s="60" t="str">
        <f t="shared" si="0"/>
        <v>Unitil</v>
      </c>
      <c r="B29" s="66" t="s">
        <v>383</v>
      </c>
      <c r="C29" s="66" t="s">
        <v>383</v>
      </c>
      <c r="D29" s="58" t="s">
        <v>404</v>
      </c>
      <c r="E29" s="58" t="s">
        <v>406</v>
      </c>
    </row>
    <row r="30" spans="1:5" x14ac:dyDescent="0.3">
      <c r="A30" s="60" t="str">
        <f t="shared" si="0"/>
        <v>Unitil</v>
      </c>
      <c r="B30" s="66" t="s">
        <v>383</v>
      </c>
      <c r="C30" s="66" t="s">
        <v>383</v>
      </c>
      <c r="D30" s="58" t="s">
        <v>404</v>
      </c>
      <c r="E30" s="58" t="s">
        <v>407</v>
      </c>
    </row>
    <row r="31" spans="1:5" x14ac:dyDescent="0.3">
      <c r="A31" s="60" t="str">
        <f t="shared" si="0"/>
        <v>Unitil</v>
      </c>
      <c r="B31" s="66" t="s">
        <v>383</v>
      </c>
      <c r="C31" s="66" t="s">
        <v>383</v>
      </c>
      <c r="D31" s="58" t="s">
        <v>404</v>
      </c>
      <c r="E31" s="58" t="s">
        <v>408</v>
      </c>
    </row>
    <row r="32" spans="1:5" x14ac:dyDescent="0.3">
      <c r="A32" s="60" t="str">
        <f t="shared" si="0"/>
        <v>Unitil</v>
      </c>
      <c r="B32" s="66" t="s">
        <v>383</v>
      </c>
      <c r="C32" s="66" t="s">
        <v>383</v>
      </c>
      <c r="D32" s="58" t="s">
        <v>404</v>
      </c>
      <c r="E32" s="58" t="s">
        <v>409</v>
      </c>
    </row>
    <row r="33" spans="1:5" x14ac:dyDescent="0.3">
      <c r="A33" s="60" t="str">
        <f t="shared" si="0"/>
        <v>Unitil</v>
      </c>
      <c r="B33" s="66" t="s">
        <v>383</v>
      </c>
      <c r="C33" s="66" t="s">
        <v>383</v>
      </c>
      <c r="D33" s="58" t="s">
        <v>404</v>
      </c>
      <c r="E33" s="58" t="s">
        <v>410</v>
      </c>
    </row>
    <row r="34" spans="1:5" x14ac:dyDescent="0.3">
      <c r="A34" s="60" t="str">
        <f t="shared" si="0"/>
        <v>Unitil</v>
      </c>
      <c r="B34" s="66" t="s">
        <v>383</v>
      </c>
      <c r="C34" s="66" t="s">
        <v>383</v>
      </c>
      <c r="D34" s="58" t="s">
        <v>404</v>
      </c>
      <c r="E34" s="58" t="s">
        <v>411</v>
      </c>
    </row>
    <row r="35" spans="1:5" x14ac:dyDescent="0.3">
      <c r="A35" s="60" t="str">
        <f t="shared" si="0"/>
        <v>Unitil</v>
      </c>
      <c r="B35" s="66" t="s">
        <v>383</v>
      </c>
      <c r="C35" s="66" t="s">
        <v>383</v>
      </c>
      <c r="D35" s="58" t="s">
        <v>404</v>
      </c>
      <c r="E35" s="58" t="s">
        <v>412</v>
      </c>
    </row>
    <row r="36" spans="1:5" x14ac:dyDescent="0.3">
      <c r="A36" s="60" t="str">
        <f t="shared" si="0"/>
        <v>Unitil</v>
      </c>
      <c r="B36" s="66" t="s">
        <v>383</v>
      </c>
      <c r="C36" s="66" t="s">
        <v>383</v>
      </c>
      <c r="D36" s="58" t="s">
        <v>404</v>
      </c>
      <c r="E36" s="58" t="s">
        <v>413</v>
      </c>
    </row>
    <row r="37" spans="1:5" x14ac:dyDescent="0.3">
      <c r="A37" s="60" t="str">
        <f t="shared" si="0"/>
        <v>Unitil</v>
      </c>
      <c r="B37" s="66" t="s">
        <v>383</v>
      </c>
      <c r="C37" s="66" t="s">
        <v>383</v>
      </c>
      <c r="D37" s="58" t="s">
        <v>404</v>
      </c>
      <c r="E37" s="496"/>
    </row>
    <row r="38" spans="1:5" x14ac:dyDescent="0.3">
      <c r="A38" s="60" t="str">
        <f t="shared" si="0"/>
        <v>Unitil</v>
      </c>
      <c r="B38" s="66" t="s">
        <v>383</v>
      </c>
      <c r="C38" s="66" t="s">
        <v>383</v>
      </c>
      <c r="D38" s="58" t="s">
        <v>414</v>
      </c>
      <c r="E38" s="58" t="s">
        <v>415</v>
      </c>
    </row>
    <row r="39" spans="1:5" x14ac:dyDescent="0.3">
      <c r="A39" s="60" t="str">
        <f t="shared" si="0"/>
        <v>Unitil</v>
      </c>
      <c r="B39" s="66" t="s">
        <v>383</v>
      </c>
      <c r="C39" s="66" t="s">
        <v>383</v>
      </c>
      <c r="D39" s="58" t="s">
        <v>414</v>
      </c>
      <c r="E39" s="58" t="s">
        <v>416</v>
      </c>
    </row>
    <row r="40" spans="1:5" x14ac:dyDescent="0.3">
      <c r="A40" s="60" t="str">
        <f t="shared" si="0"/>
        <v>Unitil</v>
      </c>
      <c r="B40" s="66" t="s">
        <v>383</v>
      </c>
      <c r="C40" s="66" t="s">
        <v>383</v>
      </c>
      <c r="D40" s="58" t="s">
        <v>414</v>
      </c>
      <c r="E40" s="58" t="s">
        <v>417</v>
      </c>
    </row>
    <row r="41" spans="1:5" x14ac:dyDescent="0.3">
      <c r="A41" s="60" t="str">
        <f t="shared" si="0"/>
        <v>Unitil</v>
      </c>
      <c r="B41" s="66" t="s">
        <v>383</v>
      </c>
      <c r="C41" s="66" t="s">
        <v>383</v>
      </c>
      <c r="D41" s="58" t="s">
        <v>414</v>
      </c>
      <c r="E41" s="496"/>
    </row>
    <row r="42" spans="1:5" x14ac:dyDescent="0.3">
      <c r="A42" s="60" t="str">
        <f t="shared" si="0"/>
        <v>Unitil</v>
      </c>
      <c r="B42" s="66" t="s">
        <v>383</v>
      </c>
      <c r="C42" s="66" t="s">
        <v>383</v>
      </c>
      <c r="D42" s="58" t="s">
        <v>418</v>
      </c>
      <c r="E42" s="58" t="s">
        <v>419</v>
      </c>
    </row>
    <row r="43" spans="1:5" x14ac:dyDescent="0.3">
      <c r="A43" s="60" t="str">
        <f t="shared" si="0"/>
        <v>Unitil</v>
      </c>
      <c r="B43" s="66" t="s">
        <v>383</v>
      </c>
      <c r="C43" s="66" t="s">
        <v>383</v>
      </c>
      <c r="D43" s="58" t="s">
        <v>418</v>
      </c>
      <c r="E43" s="58" t="s">
        <v>420</v>
      </c>
    </row>
    <row r="44" spans="1:5" x14ac:dyDescent="0.3">
      <c r="A44" s="60" t="str">
        <f t="shared" si="0"/>
        <v>Unitil</v>
      </c>
      <c r="B44" s="66" t="s">
        <v>383</v>
      </c>
      <c r="C44" s="66" t="s">
        <v>383</v>
      </c>
      <c r="D44" s="58" t="s">
        <v>418</v>
      </c>
      <c r="E44" s="496"/>
    </row>
    <row r="45" spans="1:5" x14ac:dyDescent="0.3">
      <c r="A45" s="60" t="str">
        <f t="shared" si="0"/>
        <v>Unitil</v>
      </c>
      <c r="B45" s="66" t="s">
        <v>383</v>
      </c>
      <c r="C45" s="66" t="s">
        <v>383</v>
      </c>
      <c r="D45" s="58" t="s">
        <v>422</v>
      </c>
      <c r="E45" s="58" t="s">
        <v>423</v>
      </c>
    </row>
    <row r="46" spans="1:5" x14ac:dyDescent="0.3">
      <c r="A46" s="60" t="str">
        <f t="shared" si="0"/>
        <v>Unitil</v>
      </c>
      <c r="B46" s="66" t="s">
        <v>383</v>
      </c>
      <c r="C46" s="66" t="s">
        <v>383</v>
      </c>
      <c r="D46" s="58" t="s">
        <v>422</v>
      </c>
      <c r="E46" s="58" t="s">
        <v>425</v>
      </c>
    </row>
    <row r="47" spans="1:5" x14ac:dyDescent="0.3">
      <c r="A47" s="60" t="str">
        <f t="shared" si="0"/>
        <v>Unitil</v>
      </c>
      <c r="B47" s="66" t="s">
        <v>383</v>
      </c>
      <c r="C47" s="66" t="s">
        <v>383</v>
      </c>
      <c r="D47" s="58" t="s">
        <v>422</v>
      </c>
      <c r="E47" s="58" t="s">
        <v>426</v>
      </c>
    </row>
    <row r="48" spans="1:5" x14ac:dyDescent="0.3">
      <c r="A48" s="60" t="str">
        <f t="shared" si="0"/>
        <v>Unitil</v>
      </c>
      <c r="B48" s="66" t="s">
        <v>383</v>
      </c>
      <c r="C48" s="66" t="s">
        <v>383</v>
      </c>
      <c r="D48" s="58" t="s">
        <v>422</v>
      </c>
      <c r="E48" s="496"/>
    </row>
    <row r="49" spans="1:5" x14ac:dyDescent="0.3">
      <c r="A49" s="60" t="str">
        <f t="shared" si="0"/>
        <v>Unitil</v>
      </c>
      <c r="B49" s="66" t="s">
        <v>383</v>
      </c>
      <c r="C49" s="66" t="s">
        <v>383</v>
      </c>
      <c r="D49" s="58" t="s">
        <v>427</v>
      </c>
      <c r="E49" s="58" t="s">
        <v>428</v>
      </c>
    </row>
    <row r="50" spans="1:5" x14ac:dyDescent="0.3">
      <c r="A50" s="60" t="str">
        <f t="shared" si="0"/>
        <v>Unitil</v>
      </c>
      <c r="B50" s="66" t="s">
        <v>383</v>
      </c>
      <c r="C50" s="66" t="s">
        <v>383</v>
      </c>
      <c r="D50" s="58" t="s">
        <v>427</v>
      </c>
      <c r="E50" s="496"/>
    </row>
    <row r="51" spans="1:5" x14ac:dyDescent="0.3">
      <c r="A51" s="60" t="str">
        <f t="shared" si="0"/>
        <v>Unitil</v>
      </c>
      <c r="B51" s="66" t="s">
        <v>383</v>
      </c>
      <c r="C51" s="66" t="s">
        <v>383</v>
      </c>
      <c r="D51" s="58" t="s">
        <v>430</v>
      </c>
      <c r="E51" s="58" t="s">
        <v>431</v>
      </c>
    </row>
    <row r="52" spans="1:5" x14ac:dyDescent="0.3">
      <c r="A52" s="60" t="str">
        <f t="shared" si="0"/>
        <v>Unitil</v>
      </c>
      <c r="B52" s="66" t="s">
        <v>383</v>
      </c>
      <c r="C52" s="66" t="s">
        <v>383</v>
      </c>
      <c r="D52" s="58" t="s">
        <v>430</v>
      </c>
      <c r="E52" s="58" t="s">
        <v>432</v>
      </c>
    </row>
    <row r="53" spans="1:5" x14ac:dyDescent="0.3">
      <c r="A53" s="60" t="str">
        <f t="shared" si="0"/>
        <v>Unitil</v>
      </c>
      <c r="B53" s="66" t="s">
        <v>383</v>
      </c>
      <c r="C53" s="66" t="s">
        <v>383</v>
      </c>
      <c r="D53" s="58" t="s">
        <v>430</v>
      </c>
      <c r="E53" s="496"/>
    </row>
    <row r="54" spans="1:5" x14ac:dyDescent="0.3">
      <c r="A54" s="60" t="str">
        <f t="shared" si="0"/>
        <v>Unitil</v>
      </c>
      <c r="B54" s="66" t="s">
        <v>383</v>
      </c>
      <c r="C54" s="66" t="s">
        <v>383</v>
      </c>
      <c r="D54" s="58" t="s">
        <v>434</v>
      </c>
      <c r="E54" s="58" t="s">
        <v>435</v>
      </c>
    </row>
    <row r="55" spans="1:5" x14ac:dyDescent="0.3">
      <c r="A55" s="60" t="str">
        <f t="shared" si="0"/>
        <v>Unitil</v>
      </c>
      <c r="B55" s="66" t="s">
        <v>383</v>
      </c>
      <c r="C55" s="66" t="s">
        <v>383</v>
      </c>
      <c r="D55" s="58" t="s">
        <v>434</v>
      </c>
      <c r="E55" s="58" t="s">
        <v>436</v>
      </c>
    </row>
    <row r="56" spans="1:5" x14ac:dyDescent="0.3">
      <c r="A56" s="60" t="str">
        <f t="shared" si="0"/>
        <v>Unitil</v>
      </c>
      <c r="B56" s="66" t="s">
        <v>383</v>
      </c>
      <c r="C56" s="66" t="s">
        <v>383</v>
      </c>
      <c r="D56" s="58" t="s">
        <v>434</v>
      </c>
      <c r="E56" s="58" t="s">
        <v>437</v>
      </c>
    </row>
    <row r="57" spans="1:5" x14ac:dyDescent="0.3">
      <c r="A57" s="60" t="str">
        <f t="shared" si="0"/>
        <v>Unitil</v>
      </c>
      <c r="B57" s="66" t="s">
        <v>383</v>
      </c>
      <c r="C57" s="66" t="s">
        <v>383</v>
      </c>
      <c r="D57" s="58" t="s">
        <v>434</v>
      </c>
      <c r="E57" s="58" t="s">
        <v>439</v>
      </c>
    </row>
    <row r="58" spans="1:5" x14ac:dyDescent="0.3">
      <c r="A58" s="60" t="str">
        <f t="shared" si="0"/>
        <v>Unitil</v>
      </c>
      <c r="B58" s="66" t="s">
        <v>383</v>
      </c>
      <c r="C58" s="66" t="s">
        <v>383</v>
      </c>
      <c r="D58" s="58" t="s">
        <v>434</v>
      </c>
      <c r="E58" s="58">
        <v>1303</v>
      </c>
    </row>
    <row r="59" spans="1:5" x14ac:dyDescent="0.3">
      <c r="A59" s="60" t="str">
        <f t="shared" si="0"/>
        <v>Unitil</v>
      </c>
      <c r="B59" s="66" t="s">
        <v>383</v>
      </c>
      <c r="C59" s="66" t="s">
        <v>383</v>
      </c>
      <c r="D59" s="58" t="s">
        <v>434</v>
      </c>
      <c r="E59" s="58">
        <v>1309</v>
      </c>
    </row>
    <row r="60" spans="1:5" x14ac:dyDescent="0.3">
      <c r="A60" s="60" t="str">
        <f t="shared" si="0"/>
        <v>Unitil</v>
      </c>
      <c r="B60" s="66" t="s">
        <v>383</v>
      </c>
      <c r="C60" s="66" t="s">
        <v>383</v>
      </c>
      <c r="D60" s="58" t="s">
        <v>434</v>
      </c>
      <c r="E60" s="496"/>
    </row>
    <row r="61" spans="1:5" x14ac:dyDescent="0.3">
      <c r="A61" s="60" t="str">
        <f t="shared" si="0"/>
        <v>Unitil</v>
      </c>
      <c r="B61" s="66" t="s">
        <v>383</v>
      </c>
      <c r="C61" s="66" t="s">
        <v>383</v>
      </c>
      <c r="D61" s="58" t="s">
        <v>440</v>
      </c>
      <c r="E61" s="58" t="s">
        <v>441</v>
      </c>
    </row>
    <row r="62" spans="1:5" x14ac:dyDescent="0.3">
      <c r="A62" s="60" t="str">
        <f t="shared" si="0"/>
        <v>Unitil</v>
      </c>
      <c r="B62" s="66" t="s">
        <v>383</v>
      </c>
      <c r="C62" s="66" t="s">
        <v>383</v>
      </c>
      <c r="D62" s="58" t="s">
        <v>440</v>
      </c>
      <c r="E62" s="58" t="s">
        <v>442</v>
      </c>
    </row>
    <row r="63" spans="1:5" x14ac:dyDescent="0.3">
      <c r="A63" s="60" t="str">
        <f t="shared" si="0"/>
        <v>Unitil</v>
      </c>
      <c r="B63" s="66" t="s">
        <v>383</v>
      </c>
      <c r="C63" s="66" t="s">
        <v>383</v>
      </c>
      <c r="D63" s="58" t="s">
        <v>440</v>
      </c>
      <c r="E63" s="58" t="s">
        <v>443</v>
      </c>
    </row>
    <row r="64" spans="1:5" x14ac:dyDescent="0.3">
      <c r="A64" s="60" t="str">
        <f t="shared" si="0"/>
        <v>Unitil</v>
      </c>
      <c r="B64" s="66" t="s">
        <v>383</v>
      </c>
      <c r="C64" s="66" t="s">
        <v>383</v>
      </c>
      <c r="D64" s="58" t="s">
        <v>440</v>
      </c>
      <c r="E64" s="58" t="s">
        <v>444</v>
      </c>
    </row>
    <row r="65" spans="1:5" x14ac:dyDescent="0.3">
      <c r="A65" s="60" t="str">
        <f t="shared" si="0"/>
        <v>Unitil</v>
      </c>
      <c r="B65" s="66" t="s">
        <v>383</v>
      </c>
      <c r="C65" s="66" t="s">
        <v>383</v>
      </c>
      <c r="D65" s="58" t="s">
        <v>440</v>
      </c>
      <c r="E65" s="58" t="s">
        <v>445</v>
      </c>
    </row>
    <row r="66" spans="1:5" x14ac:dyDescent="0.3">
      <c r="A66" s="60" t="str">
        <f t="shared" si="0"/>
        <v>Unitil</v>
      </c>
      <c r="B66" s="66" t="s">
        <v>383</v>
      </c>
      <c r="C66" s="66" t="s">
        <v>383</v>
      </c>
      <c r="D66" s="58" t="s">
        <v>440</v>
      </c>
      <c r="E66" s="496"/>
    </row>
  </sheetData>
  <mergeCells count="8">
    <mergeCell ref="B1:C1"/>
    <mergeCell ref="F7:M7"/>
    <mergeCell ref="N7:O7"/>
    <mergeCell ref="P7:Q7"/>
    <mergeCell ref="A8:E8"/>
    <mergeCell ref="F8:L8"/>
    <mergeCell ref="N8:O8"/>
    <mergeCell ref="P8:Q8"/>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82CA7-DCE9-4677-8F38-7BDAEAB3B2EC}">
  <dimension ref="A1:R66"/>
  <sheetViews>
    <sheetView topLeftCell="G1" zoomScale="73" zoomScaleNormal="73" workbookViewId="0">
      <selection activeCell="S57" sqref="S57"/>
    </sheetView>
  </sheetViews>
  <sheetFormatPr defaultColWidth="9.109375" defaultRowHeight="14.4" x14ac:dyDescent="0.3"/>
  <cols>
    <col min="1" max="1" width="18.88671875" style="123" customWidth="1"/>
    <col min="2" max="2" width="15.109375" style="123" customWidth="1"/>
    <col min="3" max="3" width="14.33203125" style="123" customWidth="1"/>
    <col min="4" max="5" width="19.33203125" style="123" customWidth="1"/>
    <col min="6" max="13" width="26.33203125" style="123" customWidth="1"/>
    <col min="14" max="18" width="43.88671875" style="123" customWidth="1"/>
    <col min="19" max="16384" width="9.109375" style="123"/>
  </cols>
  <sheetData>
    <row r="1" spans="1:18" x14ac:dyDescent="0.3">
      <c r="A1" s="1" t="s">
        <v>532</v>
      </c>
      <c r="B1" s="1010" t="s">
        <v>512</v>
      </c>
      <c r="C1" s="1011"/>
      <c r="D1" s="250" t="s">
        <v>2</v>
      </c>
      <c r="E1" s="250" t="s">
        <v>69</v>
      </c>
    </row>
    <row r="2" spans="1:18" x14ac:dyDescent="0.3">
      <c r="A2" s="1"/>
      <c r="B2" s="1"/>
      <c r="C2" s="192"/>
      <c r="D2" s="250" t="s">
        <v>4</v>
      </c>
      <c r="E2" s="783">
        <v>2024</v>
      </c>
    </row>
    <row r="3" spans="1:18" x14ac:dyDescent="0.3">
      <c r="A3" s="1"/>
      <c r="B3" s="124"/>
      <c r="C3" s="2"/>
      <c r="D3" s="2"/>
    </row>
    <row r="6" spans="1:18" ht="15" thickBot="1" x14ac:dyDescent="0.35">
      <c r="A6" s="784"/>
      <c r="B6" s="784"/>
      <c r="C6" s="784"/>
      <c r="D6" s="784"/>
      <c r="E6" s="784"/>
      <c r="F6" s="784"/>
      <c r="G6" s="784"/>
      <c r="H6" s="784"/>
      <c r="I6" s="784"/>
      <c r="J6" s="784"/>
      <c r="K6" s="784"/>
      <c r="L6" s="784"/>
      <c r="M6" s="784"/>
      <c r="N6" s="784"/>
      <c r="O6" s="784"/>
      <c r="P6" s="784"/>
      <c r="Q6" s="784"/>
      <c r="R6" s="784"/>
    </row>
    <row r="7" spans="1:18" ht="15" thickBot="1" x14ac:dyDescent="0.35">
      <c r="A7" s="784"/>
      <c r="B7" s="784"/>
      <c r="C7" s="784"/>
      <c r="D7" s="784"/>
      <c r="E7" s="784"/>
      <c r="F7" s="1012" t="s">
        <v>513</v>
      </c>
      <c r="G7" s="1013"/>
      <c r="H7" s="1013"/>
      <c r="I7" s="1013"/>
      <c r="J7" s="1013"/>
      <c r="K7" s="1013"/>
      <c r="L7" s="1013"/>
      <c r="M7" s="1014"/>
      <c r="N7" s="1015" t="s">
        <v>514</v>
      </c>
      <c r="O7" s="1016"/>
      <c r="P7" s="1015" t="s">
        <v>515</v>
      </c>
      <c r="Q7" s="1016"/>
      <c r="R7" s="785" t="s">
        <v>516</v>
      </c>
    </row>
    <row r="8" spans="1:18" ht="58.5" customHeight="1" thickBot="1" x14ac:dyDescent="0.35">
      <c r="A8" s="1017" t="s">
        <v>53</v>
      </c>
      <c r="B8" s="1018"/>
      <c r="C8" s="1018"/>
      <c r="D8" s="1018"/>
      <c r="E8" s="1019"/>
      <c r="F8" s="1020"/>
      <c r="G8" s="1021"/>
      <c r="H8" s="1021"/>
      <c r="I8" s="1021"/>
      <c r="J8" s="1021"/>
      <c r="K8" s="1021"/>
      <c r="L8" s="1021"/>
      <c r="M8" s="786"/>
      <c r="N8" s="1022" t="s">
        <v>517</v>
      </c>
      <c r="O8" s="1023"/>
      <c r="P8" s="1022" t="s">
        <v>518</v>
      </c>
      <c r="Q8" s="1023"/>
      <c r="R8" s="787" t="s">
        <v>519</v>
      </c>
    </row>
    <row r="9" spans="1:18" ht="43.2" x14ac:dyDescent="0.3">
      <c r="A9" s="788" t="s">
        <v>2</v>
      </c>
      <c r="B9" s="789" t="s">
        <v>12</v>
      </c>
      <c r="C9" s="789" t="s">
        <v>13</v>
      </c>
      <c r="D9" s="790" t="s">
        <v>14</v>
      </c>
      <c r="E9" s="791" t="s">
        <v>16</v>
      </c>
      <c r="F9" s="792" t="s">
        <v>83</v>
      </c>
      <c r="G9" s="792" t="s">
        <v>520</v>
      </c>
      <c r="H9" s="792" t="s">
        <v>521</v>
      </c>
      <c r="I9" s="792" t="s">
        <v>522</v>
      </c>
      <c r="J9" s="792" t="s">
        <v>523</v>
      </c>
      <c r="K9" s="792" t="s">
        <v>524</v>
      </c>
      <c r="L9" s="792" t="s">
        <v>525</v>
      </c>
      <c r="M9" s="792" t="s">
        <v>526</v>
      </c>
      <c r="N9" s="793" t="s">
        <v>527</v>
      </c>
      <c r="O9" s="793" t="s">
        <v>528</v>
      </c>
      <c r="P9" s="794" t="s">
        <v>529</v>
      </c>
      <c r="Q9" s="794" t="s">
        <v>530</v>
      </c>
      <c r="R9" s="795" t="s">
        <v>531</v>
      </c>
    </row>
    <row r="10" spans="1:18" x14ac:dyDescent="0.3">
      <c r="A10" s="60" t="str">
        <f t="shared" ref="A10:A66" si="0">$E$1</f>
        <v>Unitil</v>
      </c>
      <c r="B10" s="66" t="s">
        <v>383</v>
      </c>
      <c r="C10" s="66" t="s">
        <v>383</v>
      </c>
      <c r="D10" s="58" t="s">
        <v>384</v>
      </c>
      <c r="E10" s="58" t="s">
        <v>386</v>
      </c>
      <c r="F10" s="796"/>
      <c r="G10" s="796"/>
      <c r="H10" s="796"/>
      <c r="I10" s="797"/>
      <c r="J10" s="797"/>
      <c r="K10" s="797"/>
      <c r="L10" s="797"/>
      <c r="M10" s="797"/>
      <c r="N10" s="797"/>
      <c r="O10" s="797"/>
      <c r="P10" s="797"/>
      <c r="Q10" s="797"/>
      <c r="R10" s="797"/>
    </row>
    <row r="11" spans="1:18" x14ac:dyDescent="0.3">
      <c r="A11" s="60" t="str">
        <f t="shared" si="0"/>
        <v>Unitil</v>
      </c>
      <c r="B11" s="66" t="s">
        <v>383</v>
      </c>
      <c r="C11" s="66" t="s">
        <v>383</v>
      </c>
      <c r="D11" s="58" t="s">
        <v>384</v>
      </c>
      <c r="E11" s="58" t="s">
        <v>388</v>
      </c>
      <c r="F11" s="796"/>
      <c r="G11" s="796"/>
      <c r="H11" s="796"/>
      <c r="I11" s="797"/>
      <c r="J11" s="797"/>
      <c r="K11" s="797"/>
      <c r="L11" s="797"/>
      <c r="M11" s="797"/>
      <c r="N11" s="797"/>
      <c r="O11" s="797"/>
      <c r="P11" s="797"/>
      <c r="Q11" s="797"/>
      <c r="R11" s="797"/>
    </row>
    <row r="12" spans="1:18" x14ac:dyDescent="0.3">
      <c r="A12" s="60" t="str">
        <f t="shared" si="0"/>
        <v>Unitil</v>
      </c>
      <c r="B12" s="66" t="s">
        <v>383</v>
      </c>
      <c r="C12" s="66" t="s">
        <v>383</v>
      </c>
      <c r="D12" s="58" t="s">
        <v>384</v>
      </c>
      <c r="E12" s="58" t="s">
        <v>389</v>
      </c>
      <c r="F12" s="797"/>
      <c r="G12" s="797"/>
      <c r="H12" s="797"/>
      <c r="I12" s="797"/>
      <c r="J12" s="797"/>
      <c r="K12" s="797"/>
      <c r="L12" s="797"/>
      <c r="M12" s="797"/>
      <c r="N12" s="797"/>
      <c r="O12" s="797"/>
      <c r="P12" s="797"/>
      <c r="Q12" s="797"/>
      <c r="R12" s="797"/>
    </row>
    <row r="13" spans="1:18" x14ac:dyDescent="0.3">
      <c r="A13" s="60" t="str">
        <f t="shared" si="0"/>
        <v>Unitil</v>
      </c>
      <c r="B13" s="66" t="s">
        <v>383</v>
      </c>
      <c r="C13" s="66" t="s">
        <v>383</v>
      </c>
      <c r="D13" s="58" t="s">
        <v>384</v>
      </c>
      <c r="E13" s="58" t="s">
        <v>390</v>
      </c>
      <c r="F13" s="796"/>
      <c r="G13" s="796"/>
      <c r="H13" s="796"/>
      <c r="I13" s="797"/>
      <c r="J13" s="797"/>
      <c r="K13" s="797"/>
      <c r="L13" s="797"/>
      <c r="M13" s="797"/>
      <c r="N13" s="797"/>
      <c r="O13" s="797"/>
      <c r="P13" s="797"/>
      <c r="Q13" s="797"/>
      <c r="R13" s="797"/>
    </row>
    <row r="14" spans="1:18" x14ac:dyDescent="0.3">
      <c r="A14" s="60" t="str">
        <f>$E$1</f>
        <v>Unitil</v>
      </c>
      <c r="B14" s="66" t="s">
        <v>383</v>
      </c>
      <c r="C14" s="66" t="s">
        <v>383</v>
      </c>
      <c r="D14" s="58" t="s">
        <v>384</v>
      </c>
      <c r="E14" s="496"/>
      <c r="F14" s="784"/>
      <c r="G14" s="784"/>
      <c r="H14" s="784"/>
      <c r="I14" s="784"/>
      <c r="J14" s="784"/>
      <c r="K14" s="784"/>
      <c r="L14" s="784"/>
      <c r="M14" s="784"/>
      <c r="N14" s="784"/>
      <c r="O14" s="784"/>
      <c r="P14" s="784"/>
      <c r="Q14" s="784"/>
      <c r="R14" s="784"/>
    </row>
    <row r="15" spans="1:18" x14ac:dyDescent="0.3">
      <c r="A15" s="60" t="str">
        <f t="shared" si="0"/>
        <v>Unitil</v>
      </c>
      <c r="B15" s="66" t="s">
        <v>383</v>
      </c>
      <c r="C15" s="66" t="s">
        <v>383</v>
      </c>
      <c r="D15" s="58" t="s">
        <v>391</v>
      </c>
      <c r="E15" s="58" t="s">
        <v>392</v>
      </c>
    </row>
    <row r="16" spans="1:18" x14ac:dyDescent="0.3">
      <c r="A16" s="60" t="str">
        <f t="shared" si="0"/>
        <v>Unitil</v>
      </c>
      <c r="B16" s="66" t="s">
        <v>383</v>
      </c>
      <c r="C16" s="66" t="s">
        <v>383</v>
      </c>
      <c r="D16" s="58" t="s">
        <v>391</v>
      </c>
      <c r="E16" s="58" t="s">
        <v>393</v>
      </c>
    </row>
    <row r="17" spans="1:5" x14ac:dyDescent="0.3">
      <c r="A17" s="60" t="str">
        <f t="shared" si="0"/>
        <v>Unitil</v>
      </c>
      <c r="B17" s="66" t="s">
        <v>383</v>
      </c>
      <c r="C17" s="66" t="s">
        <v>383</v>
      </c>
      <c r="D17" s="58" t="s">
        <v>391</v>
      </c>
      <c r="E17" s="58" t="s">
        <v>394</v>
      </c>
    </row>
    <row r="18" spans="1:5" x14ac:dyDescent="0.3">
      <c r="A18" s="60" t="str">
        <f t="shared" si="0"/>
        <v>Unitil</v>
      </c>
      <c r="B18" s="66" t="s">
        <v>383</v>
      </c>
      <c r="C18" s="66" t="s">
        <v>383</v>
      </c>
      <c r="D18" s="58" t="s">
        <v>391</v>
      </c>
      <c r="E18" s="496"/>
    </row>
    <row r="19" spans="1:5" x14ac:dyDescent="0.3">
      <c r="A19" s="60" t="str">
        <f t="shared" si="0"/>
        <v>Unitil</v>
      </c>
      <c r="B19" s="66" t="s">
        <v>383</v>
      </c>
      <c r="C19" s="66" t="s">
        <v>383</v>
      </c>
      <c r="D19" s="58" t="s">
        <v>395</v>
      </c>
      <c r="E19" s="58" t="s">
        <v>396</v>
      </c>
    </row>
    <row r="20" spans="1:5" x14ac:dyDescent="0.3">
      <c r="A20" s="60" t="str">
        <f t="shared" si="0"/>
        <v>Unitil</v>
      </c>
      <c r="B20" s="66" t="s">
        <v>383</v>
      </c>
      <c r="C20" s="66" t="s">
        <v>383</v>
      </c>
      <c r="D20" s="58" t="s">
        <v>395</v>
      </c>
      <c r="E20" s="58" t="s">
        <v>397</v>
      </c>
    </row>
    <row r="21" spans="1:5" x14ac:dyDescent="0.3">
      <c r="A21" s="60" t="str">
        <f t="shared" si="0"/>
        <v>Unitil</v>
      </c>
      <c r="B21" s="66" t="s">
        <v>383</v>
      </c>
      <c r="C21" s="66" t="s">
        <v>383</v>
      </c>
      <c r="D21" s="58" t="s">
        <v>395</v>
      </c>
      <c r="E21" s="58" t="s">
        <v>398</v>
      </c>
    </row>
    <row r="22" spans="1:5" x14ac:dyDescent="0.3">
      <c r="A22" s="60" t="str">
        <f t="shared" si="0"/>
        <v>Unitil</v>
      </c>
      <c r="B22" s="66" t="s">
        <v>383</v>
      </c>
      <c r="C22" s="66" t="s">
        <v>383</v>
      </c>
      <c r="D22" s="58" t="s">
        <v>395</v>
      </c>
      <c r="E22" s="58" t="s">
        <v>400</v>
      </c>
    </row>
    <row r="23" spans="1:5" x14ac:dyDescent="0.3">
      <c r="A23" s="60" t="str">
        <f t="shared" si="0"/>
        <v>Unitil</v>
      </c>
      <c r="B23" s="66" t="s">
        <v>383</v>
      </c>
      <c r="C23" s="66" t="s">
        <v>383</v>
      </c>
      <c r="D23" s="58" t="s">
        <v>395</v>
      </c>
      <c r="E23" s="496"/>
    </row>
    <row r="24" spans="1:5" x14ac:dyDescent="0.3">
      <c r="A24" s="60" t="str">
        <f t="shared" si="0"/>
        <v>Unitil</v>
      </c>
      <c r="B24" s="66" t="s">
        <v>383</v>
      </c>
      <c r="C24" s="66" t="s">
        <v>383</v>
      </c>
      <c r="D24" s="58" t="s">
        <v>401</v>
      </c>
      <c r="E24" s="58" t="s">
        <v>402</v>
      </c>
    </row>
    <row r="25" spans="1:5" x14ac:dyDescent="0.3">
      <c r="A25" s="60" t="str">
        <f t="shared" si="0"/>
        <v>Unitil</v>
      </c>
      <c r="B25" s="66" t="s">
        <v>383</v>
      </c>
      <c r="C25" s="66" t="s">
        <v>383</v>
      </c>
      <c r="D25" s="58" t="s">
        <v>401</v>
      </c>
      <c r="E25" s="496"/>
    </row>
    <row r="26" spans="1:5" x14ac:dyDescent="0.3">
      <c r="A26" s="60" t="str">
        <f t="shared" si="0"/>
        <v>Unitil</v>
      </c>
      <c r="B26" s="66" t="s">
        <v>383</v>
      </c>
      <c r="C26" s="66" t="s">
        <v>383</v>
      </c>
      <c r="D26" s="58" t="s">
        <v>403</v>
      </c>
      <c r="E26" s="58">
        <v>1341</v>
      </c>
    </row>
    <row r="27" spans="1:5" x14ac:dyDescent="0.3">
      <c r="A27" s="60" t="str">
        <f t="shared" si="0"/>
        <v>Unitil</v>
      </c>
      <c r="B27" s="66" t="s">
        <v>383</v>
      </c>
      <c r="C27" s="66" t="s">
        <v>383</v>
      </c>
      <c r="D27" s="58" t="s">
        <v>403</v>
      </c>
      <c r="E27" s="496"/>
    </row>
    <row r="28" spans="1:5" x14ac:dyDescent="0.3">
      <c r="A28" s="60" t="str">
        <f t="shared" si="0"/>
        <v>Unitil</v>
      </c>
      <c r="B28" s="66" t="s">
        <v>383</v>
      </c>
      <c r="C28" s="66" t="s">
        <v>383</v>
      </c>
      <c r="D28" s="58" t="s">
        <v>404</v>
      </c>
      <c r="E28" s="58" t="s">
        <v>405</v>
      </c>
    </row>
    <row r="29" spans="1:5" x14ac:dyDescent="0.3">
      <c r="A29" s="60" t="str">
        <f t="shared" si="0"/>
        <v>Unitil</v>
      </c>
      <c r="B29" s="66" t="s">
        <v>383</v>
      </c>
      <c r="C29" s="66" t="s">
        <v>383</v>
      </c>
      <c r="D29" s="58" t="s">
        <v>404</v>
      </c>
      <c r="E29" s="58" t="s">
        <v>406</v>
      </c>
    </row>
    <row r="30" spans="1:5" x14ac:dyDescent="0.3">
      <c r="A30" s="60" t="str">
        <f t="shared" si="0"/>
        <v>Unitil</v>
      </c>
      <c r="B30" s="66" t="s">
        <v>383</v>
      </c>
      <c r="C30" s="66" t="s">
        <v>383</v>
      </c>
      <c r="D30" s="58" t="s">
        <v>404</v>
      </c>
      <c r="E30" s="58" t="s">
        <v>407</v>
      </c>
    </row>
    <row r="31" spans="1:5" x14ac:dyDescent="0.3">
      <c r="A31" s="60" t="str">
        <f t="shared" si="0"/>
        <v>Unitil</v>
      </c>
      <c r="B31" s="66" t="s">
        <v>383</v>
      </c>
      <c r="C31" s="66" t="s">
        <v>383</v>
      </c>
      <c r="D31" s="58" t="s">
        <v>404</v>
      </c>
      <c r="E31" s="58" t="s">
        <v>408</v>
      </c>
    </row>
    <row r="32" spans="1:5" x14ac:dyDescent="0.3">
      <c r="A32" s="60" t="str">
        <f t="shared" si="0"/>
        <v>Unitil</v>
      </c>
      <c r="B32" s="66" t="s">
        <v>383</v>
      </c>
      <c r="C32" s="66" t="s">
        <v>383</v>
      </c>
      <c r="D32" s="58" t="s">
        <v>404</v>
      </c>
      <c r="E32" s="58" t="s">
        <v>409</v>
      </c>
    </row>
    <row r="33" spans="1:5" x14ac:dyDescent="0.3">
      <c r="A33" s="60" t="str">
        <f t="shared" si="0"/>
        <v>Unitil</v>
      </c>
      <c r="B33" s="66" t="s">
        <v>383</v>
      </c>
      <c r="C33" s="66" t="s">
        <v>383</v>
      </c>
      <c r="D33" s="58" t="s">
        <v>404</v>
      </c>
      <c r="E33" s="58" t="s">
        <v>410</v>
      </c>
    </row>
    <row r="34" spans="1:5" x14ac:dyDescent="0.3">
      <c r="A34" s="60" t="str">
        <f t="shared" si="0"/>
        <v>Unitil</v>
      </c>
      <c r="B34" s="66" t="s">
        <v>383</v>
      </c>
      <c r="C34" s="66" t="s">
        <v>383</v>
      </c>
      <c r="D34" s="58" t="s">
        <v>404</v>
      </c>
      <c r="E34" s="58" t="s">
        <v>411</v>
      </c>
    </row>
    <row r="35" spans="1:5" x14ac:dyDescent="0.3">
      <c r="A35" s="60" t="str">
        <f t="shared" si="0"/>
        <v>Unitil</v>
      </c>
      <c r="B35" s="66" t="s">
        <v>383</v>
      </c>
      <c r="C35" s="66" t="s">
        <v>383</v>
      </c>
      <c r="D35" s="58" t="s">
        <v>404</v>
      </c>
      <c r="E35" s="58" t="s">
        <v>412</v>
      </c>
    </row>
    <row r="36" spans="1:5" x14ac:dyDescent="0.3">
      <c r="A36" s="60" t="str">
        <f t="shared" si="0"/>
        <v>Unitil</v>
      </c>
      <c r="B36" s="66" t="s">
        <v>383</v>
      </c>
      <c r="C36" s="66" t="s">
        <v>383</v>
      </c>
      <c r="D36" s="58" t="s">
        <v>404</v>
      </c>
      <c r="E36" s="58" t="s">
        <v>413</v>
      </c>
    </row>
    <row r="37" spans="1:5" x14ac:dyDescent="0.3">
      <c r="A37" s="60" t="str">
        <f t="shared" si="0"/>
        <v>Unitil</v>
      </c>
      <c r="B37" s="66" t="s">
        <v>383</v>
      </c>
      <c r="C37" s="66" t="s">
        <v>383</v>
      </c>
      <c r="D37" s="58" t="s">
        <v>404</v>
      </c>
      <c r="E37" s="496"/>
    </row>
    <row r="38" spans="1:5" x14ac:dyDescent="0.3">
      <c r="A38" s="60" t="str">
        <f t="shared" si="0"/>
        <v>Unitil</v>
      </c>
      <c r="B38" s="66" t="s">
        <v>383</v>
      </c>
      <c r="C38" s="66" t="s">
        <v>383</v>
      </c>
      <c r="D38" s="58" t="s">
        <v>414</v>
      </c>
      <c r="E38" s="58" t="s">
        <v>415</v>
      </c>
    </row>
    <row r="39" spans="1:5" x14ac:dyDescent="0.3">
      <c r="A39" s="60" t="str">
        <f t="shared" si="0"/>
        <v>Unitil</v>
      </c>
      <c r="B39" s="66" t="s">
        <v>383</v>
      </c>
      <c r="C39" s="66" t="s">
        <v>383</v>
      </c>
      <c r="D39" s="58" t="s">
        <v>414</v>
      </c>
      <c r="E39" s="58" t="s">
        <v>416</v>
      </c>
    </row>
    <row r="40" spans="1:5" x14ac:dyDescent="0.3">
      <c r="A40" s="60" t="str">
        <f t="shared" si="0"/>
        <v>Unitil</v>
      </c>
      <c r="B40" s="66" t="s">
        <v>383</v>
      </c>
      <c r="C40" s="66" t="s">
        <v>383</v>
      </c>
      <c r="D40" s="58" t="s">
        <v>414</v>
      </c>
      <c r="E40" s="58" t="s">
        <v>417</v>
      </c>
    </row>
    <row r="41" spans="1:5" x14ac:dyDescent="0.3">
      <c r="A41" s="60" t="str">
        <f t="shared" si="0"/>
        <v>Unitil</v>
      </c>
      <c r="B41" s="66" t="s">
        <v>383</v>
      </c>
      <c r="C41" s="66" t="s">
        <v>383</v>
      </c>
      <c r="D41" s="58" t="s">
        <v>414</v>
      </c>
      <c r="E41" s="496"/>
    </row>
    <row r="42" spans="1:5" x14ac:dyDescent="0.3">
      <c r="A42" s="60" t="str">
        <f t="shared" si="0"/>
        <v>Unitil</v>
      </c>
      <c r="B42" s="66" t="s">
        <v>383</v>
      </c>
      <c r="C42" s="66" t="s">
        <v>383</v>
      </c>
      <c r="D42" s="58" t="s">
        <v>418</v>
      </c>
      <c r="E42" s="58" t="s">
        <v>419</v>
      </c>
    </row>
    <row r="43" spans="1:5" x14ac:dyDescent="0.3">
      <c r="A43" s="60" t="str">
        <f t="shared" si="0"/>
        <v>Unitil</v>
      </c>
      <c r="B43" s="66" t="s">
        <v>383</v>
      </c>
      <c r="C43" s="66" t="s">
        <v>383</v>
      </c>
      <c r="D43" s="58" t="s">
        <v>418</v>
      </c>
      <c r="E43" s="58" t="s">
        <v>420</v>
      </c>
    </row>
    <row r="44" spans="1:5" x14ac:dyDescent="0.3">
      <c r="A44" s="60" t="str">
        <f t="shared" si="0"/>
        <v>Unitil</v>
      </c>
      <c r="B44" s="66" t="s">
        <v>383</v>
      </c>
      <c r="C44" s="66" t="s">
        <v>383</v>
      </c>
      <c r="D44" s="58" t="s">
        <v>418</v>
      </c>
      <c r="E44" s="496"/>
    </row>
    <row r="45" spans="1:5" x14ac:dyDescent="0.3">
      <c r="A45" s="60" t="str">
        <f t="shared" si="0"/>
        <v>Unitil</v>
      </c>
      <c r="B45" s="66" t="s">
        <v>383</v>
      </c>
      <c r="C45" s="66" t="s">
        <v>383</v>
      </c>
      <c r="D45" s="58" t="s">
        <v>422</v>
      </c>
      <c r="E45" s="58" t="s">
        <v>423</v>
      </c>
    </row>
    <row r="46" spans="1:5" x14ac:dyDescent="0.3">
      <c r="A46" s="60" t="str">
        <f t="shared" si="0"/>
        <v>Unitil</v>
      </c>
      <c r="B46" s="66" t="s">
        <v>383</v>
      </c>
      <c r="C46" s="66" t="s">
        <v>383</v>
      </c>
      <c r="D46" s="58" t="s">
        <v>422</v>
      </c>
      <c r="E46" s="58" t="s">
        <v>425</v>
      </c>
    </row>
    <row r="47" spans="1:5" x14ac:dyDescent="0.3">
      <c r="A47" s="60" t="str">
        <f t="shared" si="0"/>
        <v>Unitil</v>
      </c>
      <c r="B47" s="66" t="s">
        <v>383</v>
      </c>
      <c r="C47" s="66" t="s">
        <v>383</v>
      </c>
      <c r="D47" s="58" t="s">
        <v>422</v>
      </c>
      <c r="E47" s="58" t="s">
        <v>426</v>
      </c>
    </row>
    <row r="48" spans="1:5" x14ac:dyDescent="0.3">
      <c r="A48" s="60" t="str">
        <f t="shared" si="0"/>
        <v>Unitil</v>
      </c>
      <c r="B48" s="66" t="s">
        <v>383</v>
      </c>
      <c r="C48" s="66" t="s">
        <v>383</v>
      </c>
      <c r="D48" s="58" t="s">
        <v>422</v>
      </c>
      <c r="E48" s="496"/>
    </row>
    <row r="49" spans="1:5" x14ac:dyDescent="0.3">
      <c r="A49" s="60" t="str">
        <f t="shared" si="0"/>
        <v>Unitil</v>
      </c>
      <c r="B49" s="66" t="s">
        <v>383</v>
      </c>
      <c r="C49" s="66" t="s">
        <v>383</v>
      </c>
      <c r="D49" s="58" t="s">
        <v>427</v>
      </c>
      <c r="E49" s="58" t="s">
        <v>428</v>
      </c>
    </row>
    <row r="50" spans="1:5" x14ac:dyDescent="0.3">
      <c r="A50" s="60" t="str">
        <f t="shared" si="0"/>
        <v>Unitil</v>
      </c>
      <c r="B50" s="66" t="s">
        <v>383</v>
      </c>
      <c r="C50" s="66" t="s">
        <v>383</v>
      </c>
      <c r="D50" s="58" t="s">
        <v>427</v>
      </c>
      <c r="E50" s="496"/>
    </row>
    <row r="51" spans="1:5" x14ac:dyDescent="0.3">
      <c r="A51" s="60" t="str">
        <f t="shared" si="0"/>
        <v>Unitil</v>
      </c>
      <c r="B51" s="66" t="s">
        <v>383</v>
      </c>
      <c r="C51" s="66" t="s">
        <v>383</v>
      </c>
      <c r="D51" s="58" t="s">
        <v>430</v>
      </c>
      <c r="E51" s="58" t="s">
        <v>431</v>
      </c>
    </row>
    <row r="52" spans="1:5" x14ac:dyDescent="0.3">
      <c r="A52" s="60" t="str">
        <f t="shared" si="0"/>
        <v>Unitil</v>
      </c>
      <c r="B52" s="66" t="s">
        <v>383</v>
      </c>
      <c r="C52" s="66" t="s">
        <v>383</v>
      </c>
      <c r="D52" s="58" t="s">
        <v>430</v>
      </c>
      <c r="E52" s="58" t="s">
        <v>432</v>
      </c>
    </row>
    <row r="53" spans="1:5" x14ac:dyDescent="0.3">
      <c r="A53" s="60" t="str">
        <f t="shared" si="0"/>
        <v>Unitil</v>
      </c>
      <c r="B53" s="66" t="s">
        <v>383</v>
      </c>
      <c r="C53" s="66" t="s">
        <v>383</v>
      </c>
      <c r="D53" s="58" t="s">
        <v>430</v>
      </c>
      <c r="E53" s="496"/>
    </row>
    <row r="54" spans="1:5" x14ac:dyDescent="0.3">
      <c r="A54" s="60" t="str">
        <f t="shared" si="0"/>
        <v>Unitil</v>
      </c>
      <c r="B54" s="66" t="s">
        <v>383</v>
      </c>
      <c r="C54" s="66" t="s">
        <v>383</v>
      </c>
      <c r="D54" s="58" t="s">
        <v>434</v>
      </c>
      <c r="E54" s="58" t="s">
        <v>435</v>
      </c>
    </row>
    <row r="55" spans="1:5" x14ac:dyDescent="0.3">
      <c r="A55" s="60" t="str">
        <f t="shared" si="0"/>
        <v>Unitil</v>
      </c>
      <c r="B55" s="66" t="s">
        <v>383</v>
      </c>
      <c r="C55" s="66" t="s">
        <v>383</v>
      </c>
      <c r="D55" s="58" t="s">
        <v>434</v>
      </c>
      <c r="E55" s="58" t="s">
        <v>436</v>
      </c>
    </row>
    <row r="56" spans="1:5" x14ac:dyDescent="0.3">
      <c r="A56" s="60" t="str">
        <f t="shared" si="0"/>
        <v>Unitil</v>
      </c>
      <c r="B56" s="66" t="s">
        <v>383</v>
      </c>
      <c r="C56" s="66" t="s">
        <v>383</v>
      </c>
      <c r="D56" s="58" t="s">
        <v>434</v>
      </c>
      <c r="E56" s="58" t="s">
        <v>437</v>
      </c>
    </row>
    <row r="57" spans="1:5" x14ac:dyDescent="0.3">
      <c r="A57" s="60" t="str">
        <f t="shared" si="0"/>
        <v>Unitil</v>
      </c>
      <c r="B57" s="66" t="s">
        <v>383</v>
      </c>
      <c r="C57" s="66" t="s">
        <v>383</v>
      </c>
      <c r="D57" s="58" t="s">
        <v>434</v>
      </c>
      <c r="E57" s="58" t="s">
        <v>439</v>
      </c>
    </row>
    <row r="58" spans="1:5" x14ac:dyDescent="0.3">
      <c r="A58" s="60" t="str">
        <f t="shared" si="0"/>
        <v>Unitil</v>
      </c>
      <c r="B58" s="66" t="s">
        <v>383</v>
      </c>
      <c r="C58" s="66" t="s">
        <v>383</v>
      </c>
      <c r="D58" s="58" t="s">
        <v>434</v>
      </c>
      <c r="E58" s="58">
        <v>1303</v>
      </c>
    </row>
    <row r="59" spans="1:5" x14ac:dyDescent="0.3">
      <c r="A59" s="60" t="str">
        <f t="shared" si="0"/>
        <v>Unitil</v>
      </c>
      <c r="B59" s="66" t="s">
        <v>383</v>
      </c>
      <c r="C59" s="66" t="s">
        <v>383</v>
      </c>
      <c r="D59" s="58" t="s">
        <v>434</v>
      </c>
      <c r="E59" s="58">
        <v>1309</v>
      </c>
    </row>
    <row r="60" spans="1:5" x14ac:dyDescent="0.3">
      <c r="A60" s="60" t="str">
        <f t="shared" si="0"/>
        <v>Unitil</v>
      </c>
      <c r="B60" s="66" t="s">
        <v>383</v>
      </c>
      <c r="C60" s="66" t="s">
        <v>383</v>
      </c>
      <c r="D60" s="58" t="s">
        <v>434</v>
      </c>
      <c r="E60" s="496"/>
    </row>
    <row r="61" spans="1:5" x14ac:dyDescent="0.3">
      <c r="A61" s="60" t="str">
        <f t="shared" si="0"/>
        <v>Unitil</v>
      </c>
      <c r="B61" s="66" t="s">
        <v>383</v>
      </c>
      <c r="C61" s="66" t="s">
        <v>383</v>
      </c>
      <c r="D61" s="58" t="s">
        <v>440</v>
      </c>
      <c r="E61" s="58" t="s">
        <v>441</v>
      </c>
    </row>
    <row r="62" spans="1:5" x14ac:dyDescent="0.3">
      <c r="A62" s="60" t="str">
        <f t="shared" si="0"/>
        <v>Unitil</v>
      </c>
      <c r="B62" s="66" t="s">
        <v>383</v>
      </c>
      <c r="C62" s="66" t="s">
        <v>383</v>
      </c>
      <c r="D62" s="58" t="s">
        <v>440</v>
      </c>
      <c r="E62" s="58" t="s">
        <v>442</v>
      </c>
    </row>
    <row r="63" spans="1:5" x14ac:dyDescent="0.3">
      <c r="A63" s="60" t="str">
        <f t="shared" si="0"/>
        <v>Unitil</v>
      </c>
      <c r="B63" s="66" t="s">
        <v>383</v>
      </c>
      <c r="C63" s="66" t="s">
        <v>383</v>
      </c>
      <c r="D63" s="58" t="s">
        <v>440</v>
      </c>
      <c r="E63" s="58" t="s">
        <v>443</v>
      </c>
    </row>
    <row r="64" spans="1:5" x14ac:dyDescent="0.3">
      <c r="A64" s="60" t="str">
        <f t="shared" si="0"/>
        <v>Unitil</v>
      </c>
      <c r="B64" s="66" t="s">
        <v>383</v>
      </c>
      <c r="C64" s="66" t="s">
        <v>383</v>
      </c>
      <c r="D64" s="58" t="s">
        <v>440</v>
      </c>
      <c r="E64" s="58" t="s">
        <v>444</v>
      </c>
    </row>
    <row r="65" spans="1:5" x14ac:dyDescent="0.3">
      <c r="A65" s="60" t="str">
        <f t="shared" si="0"/>
        <v>Unitil</v>
      </c>
      <c r="B65" s="66" t="s">
        <v>383</v>
      </c>
      <c r="C65" s="66" t="s">
        <v>383</v>
      </c>
      <c r="D65" s="58" t="s">
        <v>440</v>
      </c>
      <c r="E65" s="58" t="s">
        <v>445</v>
      </c>
    </row>
    <row r="66" spans="1:5" x14ac:dyDescent="0.3">
      <c r="A66" s="60" t="str">
        <f t="shared" si="0"/>
        <v>Unitil</v>
      </c>
      <c r="B66" s="66" t="s">
        <v>383</v>
      </c>
      <c r="C66" s="66" t="s">
        <v>383</v>
      </c>
      <c r="D66" s="58" t="s">
        <v>440</v>
      </c>
      <c r="E66" s="496"/>
    </row>
  </sheetData>
  <mergeCells count="8">
    <mergeCell ref="B1:C1"/>
    <mergeCell ref="F7:M7"/>
    <mergeCell ref="N7:O7"/>
    <mergeCell ref="P7:Q7"/>
    <mergeCell ref="A8:E8"/>
    <mergeCell ref="F8:L8"/>
    <mergeCell ref="N8:O8"/>
    <mergeCell ref="P8:Q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72"/>
  <sheetViews>
    <sheetView zoomScaleNormal="100" workbookViewId="0">
      <selection activeCell="S57" sqref="S57"/>
    </sheetView>
  </sheetViews>
  <sheetFormatPr defaultColWidth="9.109375" defaultRowHeight="14.4" x14ac:dyDescent="0.3"/>
  <cols>
    <col min="1" max="1" width="23.33203125" style="123" customWidth="1"/>
    <col min="2" max="3" width="15.6640625" style="57" customWidth="1"/>
    <col min="4" max="4" width="15.6640625" style="124" customWidth="1"/>
    <col min="5" max="6" width="22" style="124" bestFit="1" customWidth="1"/>
    <col min="7" max="7" width="21.6640625" style="124" bestFit="1" customWidth="1"/>
    <col min="8" max="8" width="24.109375" style="124" customWidth="1"/>
    <col min="9" max="9" width="10.6640625" style="123" customWidth="1"/>
    <col min="10" max="10" width="13.5546875" style="123" customWidth="1"/>
    <col min="11" max="11" width="12.5546875" style="123" customWidth="1"/>
    <col min="12" max="12" width="12" style="123" customWidth="1"/>
    <col min="13" max="15" width="10.6640625" style="123" customWidth="1"/>
    <col min="16" max="16" width="13" style="123" customWidth="1"/>
    <col min="17" max="17" width="10.6640625" style="123" customWidth="1"/>
    <col min="18" max="21" width="13.6640625" style="123" customWidth="1"/>
    <col min="22" max="22" width="19" style="123" customWidth="1"/>
    <col min="23" max="23" width="13.88671875" style="123" bestFit="1" customWidth="1"/>
    <col min="24" max="24" width="13.6640625" style="123" customWidth="1"/>
    <col min="25" max="25" width="18.109375" style="123" customWidth="1"/>
    <col min="26" max="26" width="13.6640625" style="123" customWidth="1"/>
    <col min="27" max="27" width="15.44140625" style="123" customWidth="1"/>
    <col min="28" max="28" width="14.44140625" style="123" customWidth="1"/>
    <col min="29" max="29" width="17" style="123" bestFit="1" customWidth="1"/>
    <col min="30" max="30" width="21.5546875" style="123" bestFit="1" customWidth="1"/>
    <col min="31" max="31" width="15.5546875" style="123" bestFit="1" customWidth="1"/>
    <col min="32" max="33" width="13.6640625" style="123" customWidth="1"/>
    <col min="34" max="34" width="15.5546875" style="123" customWidth="1"/>
    <col min="35" max="35" width="17.88671875" style="123" customWidth="1"/>
    <col min="36" max="36" width="23.88671875" style="123" customWidth="1"/>
    <col min="37" max="16384" width="9.109375" style="123"/>
  </cols>
  <sheetData>
    <row r="1" spans="1:36" x14ac:dyDescent="0.3">
      <c r="A1" s="1" t="s">
        <v>39</v>
      </c>
      <c r="B1" s="59" t="s">
        <v>1</v>
      </c>
      <c r="C1" s="59"/>
      <c r="D1" s="250" t="s">
        <v>2</v>
      </c>
      <c r="E1" s="250" t="s">
        <v>69</v>
      </c>
      <c r="G1" s="1"/>
      <c r="H1" s="1"/>
    </row>
    <row r="2" spans="1:36" x14ac:dyDescent="0.3">
      <c r="A2" s="1"/>
      <c r="B2" s="59"/>
      <c r="C2" s="59"/>
      <c r="D2" s="250" t="s">
        <v>4</v>
      </c>
      <c r="E2" s="265">
        <v>2024</v>
      </c>
      <c r="F2" s="123"/>
      <c r="G2" s="1"/>
      <c r="H2" s="1"/>
    </row>
    <row r="3" spans="1:36" x14ac:dyDescent="0.3">
      <c r="A3" s="2"/>
      <c r="B3" s="56"/>
      <c r="C3" s="56"/>
      <c r="D3" s="2"/>
      <c r="E3" s="2"/>
      <c r="G3" s="123"/>
      <c r="H3" s="123"/>
    </row>
    <row r="4" spans="1:36" ht="15" customHeight="1" x14ac:dyDescent="0.3">
      <c r="A4" s="116" t="s">
        <v>5</v>
      </c>
      <c r="B4" s="124"/>
      <c r="C4" s="124"/>
      <c r="I4" s="124"/>
      <c r="J4" s="124"/>
      <c r="K4" s="124"/>
      <c r="L4" s="124"/>
      <c r="M4" s="124"/>
      <c r="N4" s="124"/>
      <c r="O4" s="124"/>
      <c r="P4" s="124"/>
      <c r="Q4" s="124"/>
    </row>
    <row r="5" spans="1:36" ht="15" thickBot="1" x14ac:dyDescent="0.35">
      <c r="I5" s="124"/>
    </row>
    <row r="6" spans="1:36" ht="32.25" customHeight="1" thickBot="1" x14ac:dyDescent="0.35">
      <c r="A6" s="874" t="s">
        <v>6</v>
      </c>
      <c r="B6" s="875"/>
      <c r="C6" s="875"/>
      <c r="D6" s="875"/>
      <c r="E6" s="875"/>
      <c r="F6" s="875"/>
      <c r="G6" s="875"/>
      <c r="H6" s="876"/>
      <c r="I6" s="880" t="s">
        <v>343</v>
      </c>
      <c r="J6" s="881"/>
      <c r="K6" s="881"/>
      <c r="L6" s="881"/>
      <c r="M6" s="881"/>
      <c r="N6" s="882" t="s">
        <v>7</v>
      </c>
      <c r="O6" s="883"/>
      <c r="P6" s="883"/>
      <c r="Q6" s="884"/>
      <c r="R6" s="882" t="s">
        <v>8</v>
      </c>
      <c r="S6" s="883"/>
      <c r="T6" s="883"/>
      <c r="U6" s="885"/>
      <c r="V6" s="593" t="s">
        <v>9</v>
      </c>
      <c r="W6" s="877" t="s">
        <v>10</v>
      </c>
      <c r="X6" s="878"/>
      <c r="Y6" s="878"/>
      <c r="Z6" s="878"/>
      <c r="AA6" s="879"/>
      <c r="AB6" s="67" t="s">
        <v>11</v>
      </c>
      <c r="AC6" s="67" t="s">
        <v>335</v>
      </c>
      <c r="AD6" s="869" t="s">
        <v>336</v>
      </c>
      <c r="AE6" s="870"/>
      <c r="AF6" s="867" t="s">
        <v>342</v>
      </c>
      <c r="AG6" s="868"/>
      <c r="AH6" s="67" t="s">
        <v>341</v>
      </c>
      <c r="AI6" s="67" t="s">
        <v>362</v>
      </c>
      <c r="AJ6" s="67" t="s">
        <v>340</v>
      </c>
    </row>
    <row r="7" spans="1:36" ht="36" x14ac:dyDescent="0.3">
      <c r="A7" s="64" t="s">
        <v>2</v>
      </c>
      <c r="B7" s="64" t="s">
        <v>12</v>
      </c>
      <c r="C7" s="64" t="s">
        <v>13</v>
      </c>
      <c r="D7" s="27" t="s">
        <v>14</v>
      </c>
      <c r="E7" s="27" t="s">
        <v>15</v>
      </c>
      <c r="F7" s="27" t="s">
        <v>16</v>
      </c>
      <c r="G7" s="27" t="s">
        <v>17</v>
      </c>
      <c r="H7" s="197" t="s">
        <v>18</v>
      </c>
      <c r="I7" s="28" t="s">
        <v>361</v>
      </c>
      <c r="J7" s="29" t="s">
        <v>356</v>
      </c>
      <c r="K7" s="29" t="s">
        <v>364</v>
      </c>
      <c r="L7" s="29" t="s">
        <v>365</v>
      </c>
      <c r="M7" s="29" t="s">
        <v>367</v>
      </c>
      <c r="N7" s="28" t="s">
        <v>368</v>
      </c>
      <c r="O7" s="31" t="s">
        <v>369</v>
      </c>
      <c r="P7" s="31" t="s">
        <v>367</v>
      </c>
      <c r="Q7" s="32" t="s">
        <v>382</v>
      </c>
      <c r="R7" s="28" t="s">
        <v>372</v>
      </c>
      <c r="S7" s="31" t="s">
        <v>373</v>
      </c>
      <c r="T7" s="30" t="s">
        <v>374</v>
      </c>
      <c r="U7" s="29" t="s">
        <v>375</v>
      </c>
      <c r="V7" s="33" t="s">
        <v>447</v>
      </c>
      <c r="W7" s="33" t="s">
        <v>10</v>
      </c>
      <c r="X7" s="31" t="s">
        <v>335</v>
      </c>
      <c r="Y7" s="31" t="s">
        <v>377</v>
      </c>
      <c r="Z7" s="31" t="s">
        <v>378</v>
      </c>
      <c r="AA7" s="34" t="s">
        <v>359</v>
      </c>
      <c r="AB7" s="68" t="s">
        <v>360</v>
      </c>
      <c r="AC7" s="68" t="s">
        <v>335</v>
      </c>
      <c r="AD7" s="33" t="s">
        <v>339</v>
      </c>
      <c r="AE7" s="34" t="s">
        <v>338</v>
      </c>
      <c r="AF7" s="31" t="s">
        <v>358</v>
      </c>
      <c r="AG7" s="34" t="s">
        <v>380</v>
      </c>
      <c r="AH7" s="68"/>
      <c r="AI7" s="68" t="s">
        <v>337</v>
      </c>
      <c r="AJ7" s="68"/>
    </row>
    <row r="8" spans="1:36" ht="30" customHeight="1" x14ac:dyDescent="0.3">
      <c r="A8" s="60" t="str">
        <f t="shared" ref="A8:A64" si="0">$E$1</f>
        <v>Unitil</v>
      </c>
      <c r="B8" s="66" t="s">
        <v>383</v>
      </c>
      <c r="C8" s="66" t="s">
        <v>383</v>
      </c>
      <c r="D8" s="58" t="s">
        <v>384</v>
      </c>
      <c r="E8" s="58" t="s">
        <v>385</v>
      </c>
      <c r="F8" s="58" t="s">
        <v>386</v>
      </c>
      <c r="G8" s="58" t="s">
        <v>385</v>
      </c>
      <c r="H8" s="10" t="s">
        <v>387</v>
      </c>
      <c r="I8" s="58"/>
      <c r="J8" s="58"/>
      <c r="K8" s="66"/>
      <c r="L8" s="58"/>
      <c r="M8" s="58"/>
      <c r="N8" s="65"/>
      <c r="O8" s="58"/>
      <c r="P8" s="58"/>
      <c r="Q8" s="198"/>
      <c r="R8" s="65"/>
      <c r="S8" s="58"/>
      <c r="T8" s="58"/>
      <c r="U8" s="203"/>
      <c r="V8" s="65"/>
      <c r="W8" s="65"/>
      <c r="X8" s="58"/>
      <c r="Y8" s="58"/>
      <c r="Z8" s="58"/>
      <c r="AA8" s="204"/>
      <c r="AB8" s="69"/>
      <c r="AC8" s="69"/>
      <c r="AD8" s="65"/>
      <c r="AE8" s="198"/>
      <c r="AF8" s="58"/>
      <c r="AG8" s="204"/>
      <c r="AH8" s="69"/>
      <c r="AI8" s="69"/>
      <c r="AJ8" s="69"/>
    </row>
    <row r="9" spans="1:36" ht="30" customHeight="1" x14ac:dyDescent="0.3">
      <c r="A9" s="60" t="str">
        <f t="shared" si="0"/>
        <v>Unitil</v>
      </c>
      <c r="B9" s="66" t="s">
        <v>383</v>
      </c>
      <c r="C9" s="66" t="s">
        <v>383</v>
      </c>
      <c r="D9" s="58" t="s">
        <v>384</v>
      </c>
      <c r="E9" s="58" t="s">
        <v>385</v>
      </c>
      <c r="F9" s="58" t="s">
        <v>388</v>
      </c>
      <c r="G9" s="58" t="s">
        <v>385</v>
      </c>
      <c r="H9" s="10" t="s">
        <v>387</v>
      </c>
      <c r="I9" s="58"/>
      <c r="J9" s="58"/>
      <c r="K9" s="66"/>
      <c r="L9" s="58"/>
      <c r="M9" s="58"/>
      <c r="N9" s="65"/>
      <c r="O9" s="58"/>
      <c r="P9" s="58"/>
      <c r="Q9" s="198"/>
      <c r="R9" s="65"/>
      <c r="S9" s="58"/>
      <c r="T9" s="58"/>
      <c r="U9" s="203"/>
      <c r="V9" s="65"/>
      <c r="W9" s="65"/>
      <c r="X9" s="58"/>
      <c r="Y9" s="58"/>
      <c r="Z9" s="58"/>
      <c r="AA9" s="204"/>
      <c r="AB9" s="69"/>
      <c r="AC9" s="69"/>
      <c r="AD9" s="65"/>
      <c r="AE9" s="198"/>
      <c r="AF9" s="58"/>
      <c r="AG9" s="204"/>
      <c r="AH9" s="69"/>
      <c r="AI9" s="69"/>
      <c r="AJ9" s="69"/>
    </row>
    <row r="10" spans="1:36" ht="30" customHeight="1" x14ac:dyDescent="0.3">
      <c r="A10" s="60" t="str">
        <f t="shared" si="0"/>
        <v>Unitil</v>
      </c>
      <c r="B10" s="66" t="s">
        <v>383</v>
      </c>
      <c r="C10" s="66" t="s">
        <v>383</v>
      </c>
      <c r="D10" s="58" t="s">
        <v>384</v>
      </c>
      <c r="E10" s="58" t="s">
        <v>385</v>
      </c>
      <c r="F10" s="58" t="s">
        <v>389</v>
      </c>
      <c r="G10" s="58" t="s">
        <v>385</v>
      </c>
      <c r="H10" s="10" t="s">
        <v>387</v>
      </c>
      <c r="I10" s="58"/>
      <c r="J10" s="58"/>
      <c r="K10" s="66"/>
      <c r="L10" s="58"/>
      <c r="M10" s="58"/>
      <c r="N10" s="65"/>
      <c r="O10" s="58"/>
      <c r="P10" s="58"/>
      <c r="Q10" s="198"/>
      <c r="R10" s="65"/>
      <c r="S10" s="58"/>
      <c r="T10" s="58"/>
      <c r="U10" s="203"/>
      <c r="V10" s="65"/>
      <c r="W10" s="65"/>
      <c r="X10" s="58"/>
      <c r="Y10" s="58"/>
      <c r="Z10" s="58"/>
      <c r="AA10" s="204"/>
      <c r="AB10" s="69"/>
      <c r="AC10" s="69"/>
      <c r="AD10" s="65"/>
      <c r="AE10" s="198"/>
      <c r="AF10" s="58"/>
      <c r="AG10" s="204"/>
      <c r="AH10" s="69"/>
      <c r="AI10" s="69"/>
      <c r="AJ10" s="69"/>
    </row>
    <row r="11" spans="1:36" ht="30" customHeight="1" x14ac:dyDescent="0.3">
      <c r="A11" s="60" t="str">
        <f t="shared" si="0"/>
        <v>Unitil</v>
      </c>
      <c r="B11" s="66" t="s">
        <v>383</v>
      </c>
      <c r="C11" s="66" t="s">
        <v>383</v>
      </c>
      <c r="D11" s="58" t="s">
        <v>384</v>
      </c>
      <c r="E11" s="58" t="s">
        <v>385</v>
      </c>
      <c r="F11" s="58" t="s">
        <v>390</v>
      </c>
      <c r="G11" s="58" t="s">
        <v>385</v>
      </c>
      <c r="H11" s="10" t="s">
        <v>387</v>
      </c>
      <c r="I11" s="58"/>
      <c r="J11" s="58"/>
      <c r="K11" s="66"/>
      <c r="L11" s="58"/>
      <c r="M11" s="58"/>
      <c r="N11" s="65"/>
      <c r="O11" s="58"/>
      <c r="P11" s="58"/>
      <c r="Q11" s="198"/>
      <c r="R11" s="65"/>
      <c r="S11" s="58"/>
      <c r="T11" s="58"/>
      <c r="U11" s="203"/>
      <c r="V11" s="65"/>
      <c r="W11" s="65"/>
      <c r="X11" s="58"/>
      <c r="Y11" s="58"/>
      <c r="Z11" s="58"/>
      <c r="AA11" s="204"/>
      <c r="AB11" s="69"/>
      <c r="AC11" s="69"/>
      <c r="AD11" s="65"/>
      <c r="AE11" s="198"/>
      <c r="AF11" s="58"/>
      <c r="AG11" s="204"/>
      <c r="AH11" s="69"/>
      <c r="AI11" s="69"/>
      <c r="AJ11" s="69"/>
    </row>
    <row r="12" spans="1:36" ht="30" customHeight="1" x14ac:dyDescent="0.3">
      <c r="A12" s="60" t="str">
        <f>$E$1</f>
        <v>Unitil</v>
      </c>
      <c r="B12" s="66" t="s">
        <v>383</v>
      </c>
      <c r="C12" s="66" t="s">
        <v>383</v>
      </c>
      <c r="D12" s="58" t="s">
        <v>384</v>
      </c>
      <c r="E12" s="58" t="s">
        <v>385</v>
      </c>
      <c r="F12" s="496"/>
      <c r="G12" s="496"/>
      <c r="H12" s="497"/>
      <c r="I12" s="58"/>
      <c r="J12" s="58"/>
      <c r="K12" s="66"/>
      <c r="L12" s="58"/>
      <c r="M12" s="58"/>
      <c r="N12" s="65"/>
      <c r="O12" s="58"/>
      <c r="P12" s="58"/>
      <c r="Q12" s="198"/>
      <c r="R12" s="65"/>
      <c r="S12" s="58"/>
      <c r="T12" s="58"/>
      <c r="U12" s="203"/>
      <c r="V12" s="65"/>
      <c r="W12" s="65"/>
      <c r="X12" s="58"/>
      <c r="Y12" s="58"/>
      <c r="Z12" s="58"/>
      <c r="AA12" s="204"/>
      <c r="AB12" s="69"/>
      <c r="AC12" s="69"/>
      <c r="AD12" s="65"/>
      <c r="AE12" s="198"/>
      <c r="AF12" s="58"/>
      <c r="AG12" s="204"/>
      <c r="AH12" s="69"/>
      <c r="AI12" s="69"/>
      <c r="AJ12" s="69"/>
    </row>
    <row r="13" spans="1:36" ht="30" customHeight="1" x14ac:dyDescent="0.3">
      <c r="A13" s="60" t="str">
        <f t="shared" si="0"/>
        <v>Unitil</v>
      </c>
      <c r="B13" s="66" t="s">
        <v>383</v>
      </c>
      <c r="C13" s="66" t="s">
        <v>383</v>
      </c>
      <c r="D13" s="58" t="s">
        <v>391</v>
      </c>
      <c r="E13" s="58" t="s">
        <v>385</v>
      </c>
      <c r="F13" s="58" t="s">
        <v>392</v>
      </c>
      <c r="G13" s="58" t="s">
        <v>385</v>
      </c>
      <c r="H13" s="10" t="s">
        <v>387</v>
      </c>
      <c r="I13" s="58"/>
      <c r="J13" s="58"/>
      <c r="K13" s="66"/>
      <c r="L13" s="58"/>
      <c r="M13" s="58"/>
      <c r="N13" s="65"/>
      <c r="O13" s="58"/>
      <c r="P13" s="58"/>
      <c r="Q13" s="198"/>
      <c r="R13" s="65"/>
      <c r="S13" s="58"/>
      <c r="T13" s="58"/>
      <c r="U13" s="203"/>
      <c r="V13" s="65"/>
      <c r="W13" s="65"/>
      <c r="X13" s="58"/>
      <c r="Y13" s="58"/>
      <c r="Z13" s="58"/>
      <c r="AA13" s="204"/>
      <c r="AB13" s="69"/>
      <c r="AC13" s="69"/>
      <c r="AD13" s="65"/>
      <c r="AE13" s="198"/>
      <c r="AF13" s="58"/>
      <c r="AG13" s="204"/>
      <c r="AH13" s="69"/>
      <c r="AI13" s="69"/>
      <c r="AJ13" s="69"/>
    </row>
    <row r="14" spans="1:36" ht="30" customHeight="1" x14ac:dyDescent="0.3">
      <c r="A14" s="60" t="str">
        <f t="shared" si="0"/>
        <v>Unitil</v>
      </c>
      <c r="B14" s="66" t="s">
        <v>383</v>
      </c>
      <c r="C14" s="66" t="s">
        <v>383</v>
      </c>
      <c r="D14" s="58" t="s">
        <v>391</v>
      </c>
      <c r="E14" s="58" t="s">
        <v>385</v>
      </c>
      <c r="F14" s="58" t="s">
        <v>393</v>
      </c>
      <c r="G14" s="58" t="s">
        <v>385</v>
      </c>
      <c r="H14" s="10" t="s">
        <v>387</v>
      </c>
      <c r="I14" s="58"/>
      <c r="J14" s="58"/>
      <c r="K14" s="66"/>
      <c r="L14" s="58"/>
      <c r="M14" s="58"/>
      <c r="N14" s="65"/>
      <c r="O14" s="58"/>
      <c r="P14" s="58"/>
      <c r="Q14" s="198"/>
      <c r="R14" s="65"/>
      <c r="S14" s="58"/>
      <c r="T14" s="58"/>
      <c r="U14" s="203"/>
      <c r="V14" s="65"/>
      <c r="W14" s="65"/>
      <c r="X14" s="58"/>
      <c r="Y14" s="58"/>
      <c r="Z14" s="58"/>
      <c r="AA14" s="204"/>
      <c r="AB14" s="69"/>
      <c r="AC14" s="69"/>
      <c r="AD14" s="65"/>
      <c r="AE14" s="198"/>
      <c r="AF14" s="58"/>
      <c r="AG14" s="204"/>
      <c r="AH14" s="69"/>
      <c r="AI14" s="69"/>
      <c r="AJ14" s="69"/>
    </row>
    <row r="15" spans="1:36" ht="30" customHeight="1" x14ac:dyDescent="0.3">
      <c r="A15" s="60" t="str">
        <f t="shared" si="0"/>
        <v>Unitil</v>
      </c>
      <c r="B15" s="66" t="s">
        <v>383</v>
      </c>
      <c r="C15" s="66" t="s">
        <v>383</v>
      </c>
      <c r="D15" s="58" t="s">
        <v>391</v>
      </c>
      <c r="E15" s="58" t="s">
        <v>385</v>
      </c>
      <c r="F15" s="58" t="s">
        <v>394</v>
      </c>
      <c r="G15" s="58" t="s">
        <v>385</v>
      </c>
      <c r="H15" s="10" t="s">
        <v>387</v>
      </c>
      <c r="I15" s="58"/>
      <c r="J15" s="58"/>
      <c r="K15" s="66"/>
      <c r="L15" s="58"/>
      <c r="M15" s="58"/>
      <c r="N15" s="65"/>
      <c r="O15" s="58"/>
      <c r="P15" s="58"/>
      <c r="Q15" s="198"/>
      <c r="R15" s="65"/>
      <c r="S15" s="58"/>
      <c r="T15" s="58"/>
      <c r="U15" s="203"/>
      <c r="V15" s="65"/>
      <c r="W15" s="65"/>
      <c r="X15" s="58"/>
      <c r="Y15" s="58"/>
      <c r="Z15" s="58"/>
      <c r="AA15" s="204"/>
      <c r="AB15" s="69"/>
      <c r="AC15" s="69"/>
      <c r="AD15" s="65"/>
      <c r="AE15" s="198"/>
      <c r="AF15" s="58"/>
      <c r="AG15" s="204"/>
      <c r="AH15" s="69"/>
      <c r="AI15" s="69"/>
      <c r="AJ15" s="69"/>
    </row>
    <row r="16" spans="1:36" ht="30" customHeight="1" x14ac:dyDescent="0.3">
      <c r="A16" s="60" t="str">
        <f t="shared" si="0"/>
        <v>Unitil</v>
      </c>
      <c r="B16" s="66" t="s">
        <v>383</v>
      </c>
      <c r="C16" s="66" t="s">
        <v>383</v>
      </c>
      <c r="D16" s="58" t="s">
        <v>391</v>
      </c>
      <c r="E16" s="58" t="s">
        <v>385</v>
      </c>
      <c r="F16" s="496"/>
      <c r="G16" s="496"/>
      <c r="H16" s="497"/>
      <c r="I16" s="58"/>
      <c r="J16" s="58"/>
      <c r="K16" s="66"/>
      <c r="L16" s="58"/>
      <c r="M16" s="58"/>
      <c r="N16" s="65"/>
      <c r="O16" s="58"/>
      <c r="P16" s="58"/>
      <c r="Q16" s="198"/>
      <c r="R16" s="65"/>
      <c r="S16" s="58"/>
      <c r="T16" s="58"/>
      <c r="U16" s="203"/>
      <c r="V16" s="65"/>
      <c r="W16" s="65"/>
      <c r="X16" s="58"/>
      <c r="Y16" s="58"/>
      <c r="Z16" s="58"/>
      <c r="AA16" s="204"/>
      <c r="AB16" s="69"/>
      <c r="AC16" s="69"/>
      <c r="AD16" s="65"/>
      <c r="AE16" s="198"/>
      <c r="AF16" s="58"/>
      <c r="AG16" s="204"/>
      <c r="AH16" s="69"/>
      <c r="AI16" s="69"/>
      <c r="AJ16" s="69"/>
    </row>
    <row r="17" spans="1:36" ht="30" customHeight="1" x14ac:dyDescent="0.3">
      <c r="A17" s="60" t="str">
        <f t="shared" si="0"/>
        <v>Unitil</v>
      </c>
      <c r="B17" s="66" t="s">
        <v>383</v>
      </c>
      <c r="C17" s="66" t="s">
        <v>383</v>
      </c>
      <c r="D17" s="58" t="s">
        <v>395</v>
      </c>
      <c r="E17" s="58" t="s">
        <v>395</v>
      </c>
      <c r="F17" s="58" t="s">
        <v>396</v>
      </c>
      <c r="G17" s="58" t="s">
        <v>395</v>
      </c>
      <c r="H17" s="10" t="s">
        <v>387</v>
      </c>
      <c r="I17" s="58"/>
      <c r="J17" s="58"/>
      <c r="K17" s="66"/>
      <c r="L17" s="58"/>
      <c r="M17" s="58"/>
      <c r="N17" s="65"/>
      <c r="O17" s="58"/>
      <c r="P17" s="58"/>
      <c r="Q17" s="198"/>
      <c r="R17" s="65"/>
      <c r="S17" s="58"/>
      <c r="T17" s="58"/>
      <c r="U17" s="203"/>
      <c r="V17" s="65"/>
      <c r="W17" s="65"/>
      <c r="X17" s="58"/>
      <c r="Y17" s="58"/>
      <c r="Z17" s="58"/>
      <c r="AA17" s="204"/>
      <c r="AB17" s="69"/>
      <c r="AC17" s="69"/>
      <c r="AD17" s="65"/>
      <c r="AE17" s="198"/>
      <c r="AF17" s="58"/>
      <c r="AG17" s="204"/>
      <c r="AH17" s="69"/>
      <c r="AI17" s="69"/>
      <c r="AJ17" s="69"/>
    </row>
    <row r="18" spans="1:36" ht="30" customHeight="1" x14ac:dyDescent="0.3">
      <c r="A18" s="60" t="str">
        <f t="shared" si="0"/>
        <v>Unitil</v>
      </c>
      <c r="B18" s="66" t="s">
        <v>383</v>
      </c>
      <c r="C18" s="66" t="s">
        <v>383</v>
      </c>
      <c r="D18" s="58" t="s">
        <v>395</v>
      </c>
      <c r="E18" s="58" t="s">
        <v>395</v>
      </c>
      <c r="F18" s="58" t="s">
        <v>397</v>
      </c>
      <c r="G18" s="58" t="s">
        <v>395</v>
      </c>
      <c r="H18" s="10" t="s">
        <v>387</v>
      </c>
      <c r="I18" s="58"/>
      <c r="J18" s="58"/>
      <c r="K18" s="66"/>
      <c r="L18" s="58"/>
      <c r="M18" s="58"/>
      <c r="N18" s="65"/>
      <c r="O18" s="58"/>
      <c r="P18" s="58"/>
      <c r="Q18" s="198"/>
      <c r="R18" s="65"/>
      <c r="S18" s="58"/>
      <c r="T18" s="58"/>
      <c r="U18" s="203"/>
      <c r="V18" s="65"/>
      <c r="W18" s="65"/>
      <c r="X18" s="58"/>
      <c r="Y18" s="58"/>
      <c r="Z18" s="58"/>
      <c r="AA18" s="204"/>
      <c r="AB18" s="69"/>
      <c r="AC18" s="69"/>
      <c r="AD18" s="65"/>
      <c r="AE18" s="198"/>
      <c r="AF18" s="58"/>
      <c r="AG18" s="204"/>
      <c r="AH18" s="69"/>
      <c r="AI18" s="69"/>
      <c r="AJ18" s="69"/>
    </row>
    <row r="19" spans="1:36" ht="30" customHeight="1" x14ac:dyDescent="0.3">
      <c r="A19" s="60" t="str">
        <f t="shared" si="0"/>
        <v>Unitil</v>
      </c>
      <c r="B19" s="66" t="s">
        <v>383</v>
      </c>
      <c r="C19" s="66" t="s">
        <v>383</v>
      </c>
      <c r="D19" s="58" t="s">
        <v>395</v>
      </c>
      <c r="E19" s="58" t="s">
        <v>395</v>
      </c>
      <c r="F19" s="58" t="s">
        <v>398</v>
      </c>
      <c r="G19" s="58" t="s">
        <v>399</v>
      </c>
      <c r="H19" s="10" t="s">
        <v>387</v>
      </c>
      <c r="I19" s="58"/>
      <c r="J19" s="58"/>
      <c r="K19" s="66"/>
      <c r="L19" s="58"/>
      <c r="M19" s="58"/>
      <c r="N19" s="65"/>
      <c r="O19" s="58"/>
      <c r="P19" s="58"/>
      <c r="Q19" s="198"/>
      <c r="R19" s="65"/>
      <c r="S19" s="58"/>
      <c r="T19" s="58"/>
      <c r="U19" s="203"/>
      <c r="V19" s="65"/>
      <c r="W19" s="65"/>
      <c r="X19" s="58"/>
      <c r="Y19" s="58"/>
      <c r="Z19" s="58"/>
      <c r="AA19" s="204"/>
      <c r="AB19" s="69"/>
      <c r="AC19" s="69"/>
      <c r="AD19" s="65"/>
      <c r="AE19" s="198"/>
      <c r="AF19" s="58"/>
      <c r="AG19" s="204"/>
      <c r="AH19" s="69"/>
      <c r="AI19" s="69"/>
      <c r="AJ19" s="69"/>
    </row>
    <row r="20" spans="1:36" ht="30" customHeight="1" x14ac:dyDescent="0.3">
      <c r="A20" s="60" t="str">
        <f t="shared" si="0"/>
        <v>Unitil</v>
      </c>
      <c r="B20" s="66" t="s">
        <v>383</v>
      </c>
      <c r="C20" s="66" t="s">
        <v>383</v>
      </c>
      <c r="D20" s="58" t="s">
        <v>395</v>
      </c>
      <c r="E20" s="58" t="s">
        <v>395</v>
      </c>
      <c r="F20" s="58" t="s">
        <v>400</v>
      </c>
      <c r="G20" s="58" t="s">
        <v>395</v>
      </c>
      <c r="H20" s="10" t="s">
        <v>387</v>
      </c>
      <c r="I20" s="58"/>
      <c r="J20" s="58"/>
      <c r="K20" s="66"/>
      <c r="L20" s="58"/>
      <c r="M20" s="58"/>
      <c r="N20" s="65"/>
      <c r="O20" s="58"/>
      <c r="P20" s="58"/>
      <c r="Q20" s="198"/>
      <c r="R20" s="65"/>
      <c r="S20" s="58"/>
      <c r="T20" s="58"/>
      <c r="U20" s="203"/>
      <c r="V20" s="65"/>
      <c r="W20" s="65"/>
      <c r="X20" s="58"/>
      <c r="Y20" s="58"/>
      <c r="Z20" s="58"/>
      <c r="AA20" s="204"/>
      <c r="AB20" s="69"/>
      <c r="AC20" s="69"/>
      <c r="AD20" s="65"/>
      <c r="AE20" s="198"/>
      <c r="AF20" s="58"/>
      <c r="AG20" s="204"/>
      <c r="AH20" s="69"/>
      <c r="AI20" s="69"/>
      <c r="AJ20" s="69"/>
    </row>
    <row r="21" spans="1:36" ht="30" customHeight="1" x14ac:dyDescent="0.3">
      <c r="A21" s="60" t="str">
        <f t="shared" si="0"/>
        <v>Unitil</v>
      </c>
      <c r="B21" s="66" t="s">
        <v>383</v>
      </c>
      <c r="C21" s="66" t="s">
        <v>383</v>
      </c>
      <c r="D21" s="58" t="s">
        <v>395</v>
      </c>
      <c r="E21" s="58" t="s">
        <v>395</v>
      </c>
      <c r="F21" s="496"/>
      <c r="G21" s="496"/>
      <c r="H21" s="497"/>
      <c r="I21" s="58"/>
      <c r="J21" s="58"/>
      <c r="K21" s="66"/>
      <c r="L21" s="58"/>
      <c r="M21" s="58"/>
      <c r="N21" s="65"/>
      <c r="O21" s="58"/>
      <c r="P21" s="58"/>
      <c r="Q21" s="198"/>
      <c r="R21" s="65"/>
      <c r="S21" s="58"/>
      <c r="T21" s="58"/>
      <c r="U21" s="203"/>
      <c r="V21" s="65"/>
      <c r="W21" s="65"/>
      <c r="X21" s="58"/>
      <c r="Y21" s="58"/>
      <c r="Z21" s="58"/>
      <c r="AA21" s="204"/>
      <c r="AB21" s="69"/>
      <c r="AC21" s="69"/>
      <c r="AD21" s="65"/>
      <c r="AE21" s="198"/>
      <c r="AF21" s="58"/>
      <c r="AG21" s="204"/>
      <c r="AH21" s="69"/>
      <c r="AI21" s="69"/>
      <c r="AJ21" s="69"/>
    </row>
    <row r="22" spans="1:36" ht="30" customHeight="1" x14ac:dyDescent="0.3">
      <c r="A22" s="60" t="str">
        <f t="shared" si="0"/>
        <v>Unitil</v>
      </c>
      <c r="B22" s="66" t="s">
        <v>383</v>
      </c>
      <c r="C22" s="66" t="s">
        <v>383</v>
      </c>
      <c r="D22" s="58" t="s">
        <v>401</v>
      </c>
      <c r="E22" s="58" t="s">
        <v>385</v>
      </c>
      <c r="F22" s="58" t="s">
        <v>402</v>
      </c>
      <c r="G22" s="58" t="s">
        <v>385</v>
      </c>
      <c r="H22" s="10" t="s">
        <v>387</v>
      </c>
      <c r="I22" s="58"/>
      <c r="J22" s="58"/>
      <c r="K22" s="66"/>
      <c r="L22" s="58"/>
      <c r="M22" s="58"/>
      <c r="N22" s="65"/>
      <c r="O22" s="58"/>
      <c r="P22" s="58"/>
      <c r="Q22" s="198"/>
      <c r="R22" s="65"/>
      <c r="S22" s="58"/>
      <c r="T22" s="58"/>
      <c r="U22" s="203"/>
      <c r="V22" s="65"/>
      <c r="W22" s="65"/>
      <c r="X22" s="58"/>
      <c r="Y22" s="58"/>
      <c r="Z22" s="58"/>
      <c r="AA22" s="204"/>
      <c r="AB22" s="69"/>
      <c r="AC22" s="69"/>
      <c r="AD22" s="65"/>
      <c r="AE22" s="198"/>
      <c r="AF22" s="58"/>
      <c r="AG22" s="204"/>
      <c r="AH22" s="69"/>
      <c r="AI22" s="69"/>
      <c r="AJ22" s="69"/>
    </row>
    <row r="23" spans="1:36" ht="30" customHeight="1" x14ac:dyDescent="0.3">
      <c r="A23" s="60" t="str">
        <f t="shared" si="0"/>
        <v>Unitil</v>
      </c>
      <c r="B23" s="66" t="s">
        <v>383</v>
      </c>
      <c r="C23" s="66" t="s">
        <v>383</v>
      </c>
      <c r="D23" s="58" t="s">
        <v>401</v>
      </c>
      <c r="E23" s="58" t="s">
        <v>385</v>
      </c>
      <c r="F23" s="496"/>
      <c r="G23" s="496"/>
      <c r="H23" s="497"/>
      <c r="I23" s="58"/>
      <c r="J23" s="58"/>
      <c r="K23" s="66"/>
      <c r="L23" s="58"/>
      <c r="M23" s="58"/>
      <c r="N23" s="65"/>
      <c r="O23" s="58"/>
      <c r="P23" s="58"/>
      <c r="Q23" s="198"/>
      <c r="R23" s="65"/>
      <c r="S23" s="58"/>
      <c r="T23" s="58"/>
      <c r="U23" s="203"/>
      <c r="V23" s="65"/>
      <c r="W23" s="65"/>
      <c r="X23" s="58"/>
      <c r="Y23" s="58"/>
      <c r="Z23" s="58"/>
      <c r="AA23" s="204"/>
      <c r="AB23" s="69"/>
      <c r="AC23" s="69"/>
      <c r="AD23" s="65"/>
      <c r="AE23" s="198"/>
      <c r="AF23" s="58"/>
      <c r="AG23" s="204"/>
      <c r="AH23" s="69"/>
      <c r="AI23" s="69"/>
      <c r="AJ23" s="69"/>
    </row>
    <row r="24" spans="1:36" ht="30" customHeight="1" x14ac:dyDescent="0.3">
      <c r="A24" s="60" t="str">
        <f t="shared" si="0"/>
        <v>Unitil</v>
      </c>
      <c r="B24" s="66" t="s">
        <v>383</v>
      </c>
      <c r="C24" s="66" t="s">
        <v>383</v>
      </c>
      <c r="D24" s="58" t="s">
        <v>403</v>
      </c>
      <c r="E24" s="58" t="s">
        <v>385</v>
      </c>
      <c r="F24" s="58">
        <v>1341</v>
      </c>
      <c r="G24" s="58" t="s">
        <v>385</v>
      </c>
      <c r="H24" s="10" t="s">
        <v>387</v>
      </c>
      <c r="I24" s="58"/>
      <c r="J24" s="58"/>
      <c r="K24" s="66"/>
      <c r="L24" s="58"/>
      <c r="M24" s="58"/>
      <c r="N24" s="65"/>
      <c r="O24" s="58"/>
      <c r="P24" s="58"/>
      <c r="Q24" s="198"/>
      <c r="R24" s="65"/>
      <c r="S24" s="58"/>
      <c r="T24" s="58"/>
      <c r="U24" s="203"/>
      <c r="V24" s="65"/>
      <c r="W24" s="65"/>
      <c r="X24" s="58"/>
      <c r="Y24" s="58"/>
      <c r="Z24" s="58"/>
      <c r="AA24" s="204"/>
      <c r="AB24" s="69"/>
      <c r="AC24" s="69"/>
      <c r="AD24" s="65"/>
      <c r="AE24" s="198"/>
      <c r="AF24" s="58"/>
      <c r="AG24" s="204"/>
      <c r="AH24" s="69"/>
      <c r="AI24" s="69"/>
      <c r="AJ24" s="69"/>
    </row>
    <row r="25" spans="1:36" ht="30" customHeight="1" x14ac:dyDescent="0.3">
      <c r="A25" s="60" t="str">
        <f t="shared" si="0"/>
        <v>Unitil</v>
      </c>
      <c r="B25" s="66" t="s">
        <v>383</v>
      </c>
      <c r="C25" s="66" t="s">
        <v>383</v>
      </c>
      <c r="D25" s="58" t="s">
        <v>403</v>
      </c>
      <c r="E25" s="58" t="s">
        <v>385</v>
      </c>
      <c r="F25" s="496"/>
      <c r="G25" s="496"/>
      <c r="H25" s="497"/>
      <c r="I25" s="58"/>
      <c r="J25" s="58"/>
      <c r="K25" s="66"/>
      <c r="L25" s="58"/>
      <c r="M25" s="58"/>
      <c r="N25" s="65"/>
      <c r="O25" s="58"/>
      <c r="P25" s="58"/>
      <c r="Q25" s="198"/>
      <c r="R25" s="65"/>
      <c r="S25" s="58"/>
      <c r="T25" s="58"/>
      <c r="U25" s="203"/>
      <c r="V25" s="65"/>
      <c r="W25" s="65"/>
      <c r="X25" s="58"/>
      <c r="Y25" s="58"/>
      <c r="Z25" s="58"/>
      <c r="AA25" s="204"/>
      <c r="AB25" s="69"/>
      <c r="AC25" s="69"/>
      <c r="AD25" s="65"/>
      <c r="AE25" s="198"/>
      <c r="AF25" s="58"/>
      <c r="AG25" s="204"/>
      <c r="AH25" s="69"/>
      <c r="AI25" s="69"/>
      <c r="AJ25" s="69"/>
    </row>
    <row r="26" spans="1:36" ht="30" customHeight="1" x14ac:dyDescent="0.3">
      <c r="A26" s="60" t="str">
        <f t="shared" si="0"/>
        <v>Unitil</v>
      </c>
      <c r="B26" s="66" t="s">
        <v>383</v>
      </c>
      <c r="C26" s="66" t="s">
        <v>383</v>
      </c>
      <c r="D26" s="58" t="s">
        <v>404</v>
      </c>
      <c r="E26" s="58" t="s">
        <v>385</v>
      </c>
      <c r="F26" s="58" t="s">
        <v>405</v>
      </c>
      <c r="G26" s="58" t="s">
        <v>385</v>
      </c>
      <c r="H26" s="10" t="s">
        <v>387</v>
      </c>
      <c r="I26" s="58"/>
      <c r="J26" s="58"/>
      <c r="K26" s="66"/>
      <c r="L26" s="58"/>
      <c r="M26" s="58"/>
      <c r="N26" s="65"/>
      <c r="O26" s="58"/>
      <c r="P26" s="58"/>
      <c r="Q26" s="198"/>
      <c r="R26" s="65"/>
      <c r="S26" s="58"/>
      <c r="T26" s="58"/>
      <c r="U26" s="203"/>
      <c r="V26" s="65"/>
      <c r="W26" s="65"/>
      <c r="X26" s="58"/>
      <c r="Y26" s="58"/>
      <c r="Z26" s="58"/>
      <c r="AA26" s="204"/>
      <c r="AB26" s="69"/>
      <c r="AC26" s="69"/>
      <c r="AD26" s="65"/>
      <c r="AE26" s="198"/>
      <c r="AF26" s="58"/>
      <c r="AG26" s="204"/>
      <c r="AH26" s="69"/>
      <c r="AI26" s="69"/>
      <c r="AJ26" s="69"/>
    </row>
    <row r="27" spans="1:36" ht="30" customHeight="1" x14ac:dyDescent="0.3">
      <c r="A27" s="60" t="str">
        <f t="shared" si="0"/>
        <v>Unitil</v>
      </c>
      <c r="B27" s="66" t="s">
        <v>383</v>
      </c>
      <c r="C27" s="66" t="s">
        <v>383</v>
      </c>
      <c r="D27" s="58" t="s">
        <v>404</v>
      </c>
      <c r="E27" s="58" t="s">
        <v>385</v>
      </c>
      <c r="F27" s="58" t="s">
        <v>406</v>
      </c>
      <c r="G27" s="58" t="s">
        <v>385</v>
      </c>
      <c r="H27" s="10" t="s">
        <v>387</v>
      </c>
      <c r="I27" s="58"/>
      <c r="J27" s="58"/>
      <c r="K27" s="66"/>
      <c r="L27" s="58"/>
      <c r="M27" s="58"/>
      <c r="N27" s="65"/>
      <c r="O27" s="58"/>
      <c r="P27" s="58"/>
      <c r="Q27" s="198"/>
      <c r="R27" s="65"/>
      <c r="S27" s="58"/>
      <c r="T27" s="58"/>
      <c r="U27" s="203"/>
      <c r="V27" s="65"/>
      <c r="W27" s="65"/>
      <c r="X27" s="58"/>
      <c r="Y27" s="58"/>
      <c r="Z27" s="58"/>
      <c r="AA27" s="204"/>
      <c r="AB27" s="69"/>
      <c r="AC27" s="69"/>
      <c r="AD27" s="65"/>
      <c r="AE27" s="198"/>
      <c r="AF27" s="58"/>
      <c r="AG27" s="204"/>
      <c r="AH27" s="69"/>
      <c r="AI27" s="69"/>
      <c r="AJ27" s="69"/>
    </row>
    <row r="28" spans="1:36" ht="30" customHeight="1" x14ac:dyDescent="0.3">
      <c r="A28" s="60" t="str">
        <f t="shared" si="0"/>
        <v>Unitil</v>
      </c>
      <c r="B28" s="66" t="s">
        <v>383</v>
      </c>
      <c r="C28" s="66" t="s">
        <v>383</v>
      </c>
      <c r="D28" s="58" t="s">
        <v>404</v>
      </c>
      <c r="E28" s="58" t="s">
        <v>385</v>
      </c>
      <c r="F28" s="58" t="s">
        <v>407</v>
      </c>
      <c r="G28" s="58" t="s">
        <v>385</v>
      </c>
      <c r="H28" s="10" t="s">
        <v>387</v>
      </c>
      <c r="I28" s="58"/>
      <c r="J28" s="58"/>
      <c r="K28" s="66"/>
      <c r="L28" s="58"/>
      <c r="M28" s="58"/>
      <c r="N28" s="65"/>
      <c r="O28" s="58"/>
      <c r="P28" s="58"/>
      <c r="Q28" s="198"/>
      <c r="R28" s="65"/>
      <c r="S28" s="58"/>
      <c r="T28" s="58"/>
      <c r="U28" s="203"/>
      <c r="V28" s="65"/>
      <c r="W28" s="65"/>
      <c r="X28" s="58"/>
      <c r="Y28" s="58"/>
      <c r="Z28" s="58"/>
      <c r="AA28" s="204"/>
      <c r="AB28" s="69"/>
      <c r="AC28" s="69"/>
      <c r="AD28" s="65"/>
      <c r="AE28" s="198"/>
      <c r="AF28" s="58"/>
      <c r="AG28" s="204"/>
      <c r="AH28" s="69"/>
      <c r="AI28" s="69"/>
      <c r="AJ28" s="69"/>
    </row>
    <row r="29" spans="1:36" ht="30" customHeight="1" x14ac:dyDescent="0.3">
      <c r="A29" s="60" t="str">
        <f t="shared" si="0"/>
        <v>Unitil</v>
      </c>
      <c r="B29" s="66" t="s">
        <v>383</v>
      </c>
      <c r="C29" s="66" t="s">
        <v>383</v>
      </c>
      <c r="D29" s="58" t="s">
        <v>404</v>
      </c>
      <c r="E29" s="58" t="s">
        <v>385</v>
      </c>
      <c r="F29" s="58" t="s">
        <v>408</v>
      </c>
      <c r="G29" s="58" t="s">
        <v>385</v>
      </c>
      <c r="H29" s="10" t="s">
        <v>387</v>
      </c>
      <c r="I29" s="58"/>
      <c r="J29" s="58"/>
      <c r="K29" s="66"/>
      <c r="L29" s="58"/>
      <c r="M29" s="58"/>
      <c r="N29" s="65"/>
      <c r="O29" s="58"/>
      <c r="P29" s="58"/>
      <c r="Q29" s="198"/>
      <c r="R29" s="65"/>
      <c r="S29" s="58"/>
      <c r="T29" s="58"/>
      <c r="U29" s="203"/>
      <c r="V29" s="65"/>
      <c r="W29" s="65"/>
      <c r="X29" s="58"/>
      <c r="Y29" s="58"/>
      <c r="Z29" s="58"/>
      <c r="AA29" s="204"/>
      <c r="AB29" s="69"/>
      <c r="AC29" s="69"/>
      <c r="AD29" s="65"/>
      <c r="AE29" s="198"/>
      <c r="AF29" s="58"/>
      <c r="AG29" s="204"/>
      <c r="AH29" s="69"/>
      <c r="AI29" s="69"/>
      <c r="AJ29" s="69"/>
    </row>
    <row r="30" spans="1:36" ht="30" customHeight="1" x14ac:dyDescent="0.3">
      <c r="A30" s="60" t="str">
        <f t="shared" si="0"/>
        <v>Unitil</v>
      </c>
      <c r="B30" s="66" t="s">
        <v>383</v>
      </c>
      <c r="C30" s="66" t="s">
        <v>383</v>
      </c>
      <c r="D30" s="58" t="s">
        <v>404</v>
      </c>
      <c r="E30" s="58" t="s">
        <v>385</v>
      </c>
      <c r="F30" s="58" t="s">
        <v>409</v>
      </c>
      <c r="G30" s="58" t="s">
        <v>385</v>
      </c>
      <c r="H30" s="10" t="s">
        <v>387</v>
      </c>
      <c r="I30" s="58"/>
      <c r="J30" s="58"/>
      <c r="K30" s="66"/>
      <c r="L30" s="58"/>
      <c r="M30" s="58"/>
      <c r="N30" s="65"/>
      <c r="O30" s="58"/>
      <c r="P30" s="58"/>
      <c r="Q30" s="198"/>
      <c r="R30" s="65"/>
      <c r="S30" s="58"/>
      <c r="T30" s="58"/>
      <c r="U30" s="203"/>
      <c r="V30" s="65"/>
      <c r="W30" s="65"/>
      <c r="X30" s="58"/>
      <c r="Y30" s="58"/>
      <c r="Z30" s="58"/>
      <c r="AA30" s="204"/>
      <c r="AB30" s="69"/>
      <c r="AC30" s="69"/>
      <c r="AD30" s="65"/>
      <c r="AE30" s="198"/>
      <c r="AF30" s="58"/>
      <c r="AG30" s="204"/>
      <c r="AH30" s="69"/>
      <c r="AI30" s="69"/>
      <c r="AJ30" s="69"/>
    </row>
    <row r="31" spans="1:36" ht="30" customHeight="1" x14ac:dyDescent="0.3">
      <c r="A31" s="60" t="str">
        <f t="shared" si="0"/>
        <v>Unitil</v>
      </c>
      <c r="B31" s="66" t="s">
        <v>383</v>
      </c>
      <c r="C31" s="66" t="s">
        <v>383</v>
      </c>
      <c r="D31" s="58" t="s">
        <v>404</v>
      </c>
      <c r="E31" s="58" t="s">
        <v>385</v>
      </c>
      <c r="F31" s="58" t="s">
        <v>410</v>
      </c>
      <c r="G31" s="58" t="s">
        <v>385</v>
      </c>
      <c r="H31" s="10" t="s">
        <v>387</v>
      </c>
      <c r="I31" s="58"/>
      <c r="J31" s="58"/>
      <c r="K31" s="66"/>
      <c r="L31" s="58"/>
      <c r="M31" s="58"/>
      <c r="N31" s="65"/>
      <c r="O31" s="58"/>
      <c r="P31" s="58"/>
      <c r="Q31" s="198"/>
      <c r="R31" s="65"/>
      <c r="S31" s="58"/>
      <c r="T31" s="58"/>
      <c r="U31" s="203"/>
      <c r="V31" s="65"/>
      <c r="W31" s="65"/>
      <c r="X31" s="58"/>
      <c r="Y31" s="58"/>
      <c r="Z31" s="58"/>
      <c r="AA31" s="204"/>
      <c r="AB31" s="69"/>
      <c r="AC31" s="69"/>
      <c r="AD31" s="65"/>
      <c r="AE31" s="198"/>
      <c r="AF31" s="58"/>
      <c r="AG31" s="204"/>
      <c r="AH31" s="69"/>
      <c r="AI31" s="69"/>
      <c r="AJ31" s="69"/>
    </row>
    <row r="32" spans="1:36" ht="30" customHeight="1" x14ac:dyDescent="0.3">
      <c r="A32" s="60" t="str">
        <f t="shared" si="0"/>
        <v>Unitil</v>
      </c>
      <c r="B32" s="66" t="s">
        <v>383</v>
      </c>
      <c r="C32" s="66" t="s">
        <v>383</v>
      </c>
      <c r="D32" s="58" t="s">
        <v>404</v>
      </c>
      <c r="E32" s="58" t="s">
        <v>385</v>
      </c>
      <c r="F32" s="58" t="s">
        <v>411</v>
      </c>
      <c r="G32" s="58" t="s">
        <v>385</v>
      </c>
      <c r="H32" s="10" t="s">
        <v>387</v>
      </c>
      <c r="I32" s="58"/>
      <c r="J32" s="58"/>
      <c r="K32" s="66"/>
      <c r="L32" s="58"/>
      <c r="M32" s="58"/>
      <c r="N32" s="65"/>
      <c r="O32" s="58"/>
      <c r="P32" s="58"/>
      <c r="Q32" s="198"/>
      <c r="R32" s="65"/>
      <c r="S32" s="58"/>
      <c r="T32" s="58"/>
      <c r="U32" s="203"/>
      <c r="V32" s="65"/>
      <c r="W32" s="65"/>
      <c r="X32" s="58"/>
      <c r="Y32" s="58"/>
      <c r="Z32" s="58"/>
      <c r="AA32" s="204"/>
      <c r="AB32" s="69"/>
      <c r="AC32" s="69"/>
      <c r="AD32" s="65"/>
      <c r="AE32" s="198"/>
      <c r="AF32" s="58"/>
      <c r="AG32" s="204"/>
      <c r="AH32" s="69"/>
      <c r="AI32" s="69"/>
      <c r="AJ32" s="69"/>
    </row>
    <row r="33" spans="1:36" ht="30" customHeight="1" x14ac:dyDescent="0.3">
      <c r="A33" s="60" t="str">
        <f t="shared" si="0"/>
        <v>Unitil</v>
      </c>
      <c r="B33" s="66" t="s">
        <v>383</v>
      </c>
      <c r="C33" s="66" t="s">
        <v>383</v>
      </c>
      <c r="D33" s="58" t="s">
        <v>404</v>
      </c>
      <c r="E33" s="58" t="s">
        <v>385</v>
      </c>
      <c r="F33" s="58" t="s">
        <v>412</v>
      </c>
      <c r="G33" s="58" t="s">
        <v>385</v>
      </c>
      <c r="H33" s="10" t="s">
        <v>387</v>
      </c>
      <c r="I33" s="58"/>
      <c r="J33" s="58"/>
      <c r="K33" s="66"/>
      <c r="L33" s="58"/>
      <c r="M33" s="58"/>
      <c r="N33" s="65"/>
      <c r="O33" s="58"/>
      <c r="P33" s="58"/>
      <c r="Q33" s="198"/>
      <c r="R33" s="65"/>
      <c r="S33" s="58"/>
      <c r="T33" s="58"/>
      <c r="U33" s="203"/>
      <c r="V33" s="65"/>
      <c r="W33" s="65"/>
      <c r="X33" s="58"/>
      <c r="Y33" s="58"/>
      <c r="Z33" s="58"/>
      <c r="AA33" s="204"/>
      <c r="AB33" s="69"/>
      <c r="AC33" s="69"/>
      <c r="AD33" s="65"/>
      <c r="AE33" s="198"/>
      <c r="AF33" s="58"/>
      <c r="AG33" s="204"/>
      <c r="AH33" s="69"/>
      <c r="AI33" s="69"/>
      <c r="AJ33" s="69"/>
    </row>
    <row r="34" spans="1:36" ht="30" customHeight="1" x14ac:dyDescent="0.3">
      <c r="A34" s="60" t="str">
        <f t="shared" si="0"/>
        <v>Unitil</v>
      </c>
      <c r="B34" s="66" t="s">
        <v>383</v>
      </c>
      <c r="C34" s="66" t="s">
        <v>383</v>
      </c>
      <c r="D34" s="58" t="s">
        <v>404</v>
      </c>
      <c r="E34" s="58" t="s">
        <v>385</v>
      </c>
      <c r="F34" s="58" t="s">
        <v>413</v>
      </c>
      <c r="G34" s="58" t="s">
        <v>385</v>
      </c>
      <c r="H34" s="10" t="s">
        <v>387</v>
      </c>
      <c r="I34" s="58"/>
      <c r="J34" s="58"/>
      <c r="K34" s="66"/>
      <c r="L34" s="58"/>
      <c r="M34" s="58"/>
      <c r="N34" s="65"/>
      <c r="O34" s="58"/>
      <c r="P34" s="58"/>
      <c r="Q34" s="198"/>
      <c r="R34" s="65"/>
      <c r="S34" s="58"/>
      <c r="T34" s="58"/>
      <c r="U34" s="203"/>
      <c r="V34" s="65"/>
      <c r="W34" s="65"/>
      <c r="X34" s="58"/>
      <c r="Y34" s="58"/>
      <c r="Z34" s="58"/>
      <c r="AA34" s="204"/>
      <c r="AB34" s="69"/>
      <c r="AC34" s="69"/>
      <c r="AD34" s="65"/>
      <c r="AE34" s="198"/>
      <c r="AF34" s="58"/>
      <c r="AG34" s="204"/>
      <c r="AH34" s="69"/>
      <c r="AI34" s="69"/>
      <c r="AJ34" s="69"/>
    </row>
    <row r="35" spans="1:36" ht="30" customHeight="1" x14ac:dyDescent="0.3">
      <c r="A35" s="60" t="str">
        <f t="shared" si="0"/>
        <v>Unitil</v>
      </c>
      <c r="B35" s="66" t="s">
        <v>383</v>
      </c>
      <c r="C35" s="66" t="s">
        <v>383</v>
      </c>
      <c r="D35" s="58" t="s">
        <v>404</v>
      </c>
      <c r="E35" s="58" t="s">
        <v>385</v>
      </c>
      <c r="F35" s="496"/>
      <c r="G35" s="496"/>
      <c r="H35" s="497"/>
      <c r="I35" s="58"/>
      <c r="J35" s="58"/>
      <c r="K35" s="66"/>
      <c r="L35" s="58"/>
      <c r="M35" s="58"/>
      <c r="N35" s="65"/>
      <c r="O35" s="58"/>
      <c r="P35" s="58"/>
      <c r="Q35" s="198"/>
      <c r="R35" s="65"/>
      <c r="S35" s="58"/>
      <c r="T35" s="58"/>
      <c r="U35" s="203"/>
      <c r="V35" s="65"/>
      <c r="W35" s="65"/>
      <c r="X35" s="58"/>
      <c r="Y35" s="58"/>
      <c r="Z35" s="58"/>
      <c r="AA35" s="204"/>
      <c r="AB35" s="69"/>
      <c r="AC35" s="69"/>
      <c r="AD35" s="65"/>
      <c r="AE35" s="198"/>
      <c r="AF35" s="58"/>
      <c r="AG35" s="204"/>
      <c r="AH35" s="69"/>
      <c r="AI35" s="69"/>
      <c r="AJ35" s="69"/>
    </row>
    <row r="36" spans="1:36" ht="30" customHeight="1" x14ac:dyDescent="0.3">
      <c r="A36" s="60" t="str">
        <f t="shared" si="0"/>
        <v>Unitil</v>
      </c>
      <c r="B36" s="66" t="s">
        <v>383</v>
      </c>
      <c r="C36" s="66" t="s">
        <v>383</v>
      </c>
      <c r="D36" s="58" t="s">
        <v>414</v>
      </c>
      <c r="E36" s="58" t="s">
        <v>385</v>
      </c>
      <c r="F36" s="58" t="s">
        <v>415</v>
      </c>
      <c r="G36" s="58" t="s">
        <v>385</v>
      </c>
      <c r="H36" s="10" t="s">
        <v>387</v>
      </c>
      <c r="I36" s="58"/>
      <c r="J36" s="58"/>
      <c r="K36" s="66"/>
      <c r="L36" s="58"/>
      <c r="M36" s="58"/>
      <c r="N36" s="65"/>
      <c r="O36" s="58"/>
      <c r="P36" s="58"/>
      <c r="Q36" s="198"/>
      <c r="R36" s="65"/>
      <c r="S36" s="58"/>
      <c r="T36" s="58"/>
      <c r="U36" s="203"/>
      <c r="V36" s="65"/>
      <c r="W36" s="65"/>
      <c r="X36" s="58"/>
      <c r="Y36" s="58"/>
      <c r="Z36" s="58"/>
      <c r="AA36" s="204"/>
      <c r="AB36" s="69"/>
      <c r="AC36" s="69"/>
      <c r="AD36" s="65"/>
      <c r="AE36" s="198"/>
      <c r="AF36" s="58"/>
      <c r="AG36" s="204"/>
      <c r="AH36" s="69"/>
      <c r="AI36" s="69"/>
      <c r="AJ36" s="69"/>
    </row>
    <row r="37" spans="1:36" ht="30" customHeight="1" x14ac:dyDescent="0.3">
      <c r="A37" s="60" t="str">
        <f t="shared" si="0"/>
        <v>Unitil</v>
      </c>
      <c r="B37" s="66" t="s">
        <v>383</v>
      </c>
      <c r="C37" s="66" t="s">
        <v>383</v>
      </c>
      <c r="D37" s="58" t="s">
        <v>414</v>
      </c>
      <c r="E37" s="58" t="s">
        <v>385</v>
      </c>
      <c r="F37" s="58" t="s">
        <v>416</v>
      </c>
      <c r="G37" s="58" t="s">
        <v>385</v>
      </c>
      <c r="H37" s="10" t="s">
        <v>387</v>
      </c>
      <c r="I37" s="58"/>
      <c r="J37" s="58"/>
      <c r="K37" s="66"/>
      <c r="L37" s="58"/>
      <c r="M37" s="58"/>
      <c r="N37" s="65"/>
      <c r="O37" s="58"/>
      <c r="P37" s="58"/>
      <c r="Q37" s="198"/>
      <c r="R37" s="65"/>
      <c r="S37" s="58"/>
      <c r="T37" s="58"/>
      <c r="U37" s="203"/>
      <c r="V37" s="65"/>
      <c r="W37" s="65"/>
      <c r="X37" s="58"/>
      <c r="Y37" s="58"/>
      <c r="Z37" s="58"/>
      <c r="AA37" s="204"/>
      <c r="AB37" s="69"/>
      <c r="AC37" s="69"/>
      <c r="AD37" s="65"/>
      <c r="AE37" s="198"/>
      <c r="AF37" s="58"/>
      <c r="AG37" s="204"/>
      <c r="AH37" s="69"/>
      <c r="AI37" s="69"/>
      <c r="AJ37" s="69"/>
    </row>
    <row r="38" spans="1:36" ht="30" customHeight="1" x14ac:dyDescent="0.3">
      <c r="A38" s="60" t="str">
        <f t="shared" si="0"/>
        <v>Unitil</v>
      </c>
      <c r="B38" s="66" t="s">
        <v>383</v>
      </c>
      <c r="C38" s="66" t="s">
        <v>383</v>
      </c>
      <c r="D38" s="58" t="s">
        <v>414</v>
      </c>
      <c r="E38" s="58" t="s">
        <v>385</v>
      </c>
      <c r="F38" s="58" t="s">
        <v>417</v>
      </c>
      <c r="G38" s="58" t="s">
        <v>385</v>
      </c>
      <c r="H38" s="10" t="s">
        <v>387</v>
      </c>
      <c r="I38" s="58"/>
      <c r="J38" s="58"/>
      <c r="K38" s="66"/>
      <c r="L38" s="58"/>
      <c r="M38" s="58"/>
      <c r="N38" s="65"/>
      <c r="O38" s="58"/>
      <c r="P38" s="58"/>
      <c r="Q38" s="198"/>
      <c r="R38" s="65"/>
      <c r="S38" s="58"/>
      <c r="T38" s="58"/>
      <c r="U38" s="203"/>
      <c r="V38" s="65"/>
      <c r="W38" s="65"/>
      <c r="X38" s="58"/>
      <c r="Y38" s="58"/>
      <c r="Z38" s="58"/>
      <c r="AA38" s="204"/>
      <c r="AB38" s="69"/>
      <c r="AC38" s="69"/>
      <c r="AD38" s="65"/>
      <c r="AE38" s="198"/>
      <c r="AF38" s="58"/>
      <c r="AG38" s="204"/>
      <c r="AH38" s="69"/>
      <c r="AI38" s="69"/>
      <c r="AJ38" s="69"/>
    </row>
    <row r="39" spans="1:36" ht="30" customHeight="1" x14ac:dyDescent="0.3">
      <c r="A39" s="60" t="str">
        <f t="shared" si="0"/>
        <v>Unitil</v>
      </c>
      <c r="B39" s="66" t="s">
        <v>383</v>
      </c>
      <c r="C39" s="66" t="s">
        <v>383</v>
      </c>
      <c r="D39" s="58" t="s">
        <v>414</v>
      </c>
      <c r="E39" s="58" t="s">
        <v>385</v>
      </c>
      <c r="F39" s="496"/>
      <c r="G39" s="496"/>
      <c r="H39" s="497"/>
      <c r="I39" s="58"/>
      <c r="J39" s="58"/>
      <c r="K39" s="66"/>
      <c r="L39" s="58"/>
      <c r="M39" s="58"/>
      <c r="N39" s="65"/>
      <c r="O39" s="58"/>
      <c r="P39" s="58"/>
      <c r="Q39" s="198"/>
      <c r="R39" s="65"/>
      <c r="S39" s="58"/>
      <c r="T39" s="58"/>
      <c r="U39" s="203"/>
      <c r="V39" s="65"/>
      <c r="W39" s="65"/>
      <c r="X39" s="58"/>
      <c r="Y39" s="58"/>
      <c r="Z39" s="58"/>
      <c r="AA39" s="204"/>
      <c r="AB39" s="69"/>
      <c r="AC39" s="69"/>
      <c r="AD39" s="65"/>
      <c r="AE39" s="198"/>
      <c r="AF39" s="58"/>
      <c r="AG39" s="204"/>
      <c r="AH39" s="69"/>
      <c r="AI39" s="69"/>
      <c r="AJ39" s="69"/>
    </row>
    <row r="40" spans="1:36" ht="30" customHeight="1" x14ac:dyDescent="0.3">
      <c r="A40" s="60" t="str">
        <f t="shared" si="0"/>
        <v>Unitil</v>
      </c>
      <c r="B40" s="66" t="s">
        <v>383</v>
      </c>
      <c r="C40" s="66" t="s">
        <v>383</v>
      </c>
      <c r="D40" s="58" t="s">
        <v>418</v>
      </c>
      <c r="E40" s="58" t="s">
        <v>418</v>
      </c>
      <c r="F40" s="58" t="s">
        <v>419</v>
      </c>
      <c r="G40" s="58" t="s">
        <v>418</v>
      </c>
      <c r="H40" s="10" t="s">
        <v>387</v>
      </c>
      <c r="I40" s="58"/>
      <c r="J40" s="58"/>
      <c r="K40" s="66"/>
      <c r="L40" s="58"/>
      <c r="M40" s="58"/>
      <c r="N40" s="65"/>
      <c r="O40" s="58"/>
      <c r="P40" s="58"/>
      <c r="Q40" s="198"/>
      <c r="R40" s="65"/>
      <c r="S40" s="58"/>
      <c r="T40" s="58"/>
      <c r="U40" s="203"/>
      <c r="V40" s="65"/>
      <c r="W40" s="65"/>
      <c r="X40" s="58"/>
      <c r="Y40" s="58"/>
      <c r="Z40" s="58"/>
      <c r="AA40" s="204"/>
      <c r="AB40" s="69"/>
      <c r="AC40" s="69"/>
      <c r="AD40" s="65"/>
      <c r="AE40" s="198"/>
      <c r="AF40" s="58"/>
      <c r="AG40" s="204"/>
      <c r="AH40" s="69"/>
      <c r="AI40" s="69"/>
      <c r="AJ40" s="69"/>
    </row>
    <row r="41" spans="1:36" ht="30" customHeight="1" x14ac:dyDescent="0.3">
      <c r="A41" s="60" t="str">
        <f t="shared" si="0"/>
        <v>Unitil</v>
      </c>
      <c r="B41" s="66" t="s">
        <v>383</v>
      </c>
      <c r="C41" s="66" t="s">
        <v>383</v>
      </c>
      <c r="D41" s="58" t="s">
        <v>418</v>
      </c>
      <c r="E41" s="58" t="s">
        <v>418</v>
      </c>
      <c r="F41" s="58" t="s">
        <v>420</v>
      </c>
      <c r="G41" s="58" t="s">
        <v>421</v>
      </c>
      <c r="H41" s="10" t="s">
        <v>387</v>
      </c>
      <c r="I41" s="58"/>
      <c r="J41" s="58"/>
      <c r="K41" s="66"/>
      <c r="L41" s="58"/>
      <c r="M41" s="58"/>
      <c r="N41" s="65"/>
      <c r="O41" s="58"/>
      <c r="P41" s="58"/>
      <c r="Q41" s="198"/>
      <c r="R41" s="65"/>
      <c r="S41" s="58"/>
      <c r="T41" s="58"/>
      <c r="U41" s="203"/>
      <c r="V41" s="65"/>
      <c r="W41" s="65"/>
      <c r="X41" s="58"/>
      <c r="Y41" s="58"/>
      <c r="Z41" s="58"/>
      <c r="AA41" s="204"/>
      <c r="AB41" s="69"/>
      <c r="AC41" s="69"/>
      <c r="AD41" s="65"/>
      <c r="AE41" s="198"/>
      <c r="AF41" s="58"/>
      <c r="AG41" s="204"/>
      <c r="AH41" s="69"/>
      <c r="AI41" s="69"/>
      <c r="AJ41" s="69"/>
    </row>
    <row r="42" spans="1:36" ht="30" customHeight="1" x14ac:dyDescent="0.3">
      <c r="A42" s="60" t="str">
        <f t="shared" si="0"/>
        <v>Unitil</v>
      </c>
      <c r="B42" s="66" t="s">
        <v>383</v>
      </c>
      <c r="C42" s="66" t="s">
        <v>383</v>
      </c>
      <c r="D42" s="58" t="s">
        <v>418</v>
      </c>
      <c r="E42" s="58" t="s">
        <v>418</v>
      </c>
      <c r="F42" s="496"/>
      <c r="G42" s="496"/>
      <c r="H42" s="497"/>
      <c r="I42" s="58"/>
      <c r="J42" s="58"/>
      <c r="K42" s="66"/>
      <c r="L42" s="58"/>
      <c r="M42" s="58"/>
      <c r="N42" s="65"/>
      <c r="O42" s="58"/>
      <c r="P42" s="58"/>
      <c r="Q42" s="198"/>
      <c r="R42" s="65"/>
      <c r="S42" s="58"/>
      <c r="T42" s="58"/>
      <c r="U42" s="203"/>
      <c r="V42" s="65"/>
      <c r="W42" s="65"/>
      <c r="X42" s="58"/>
      <c r="Y42" s="58"/>
      <c r="Z42" s="58"/>
      <c r="AA42" s="204"/>
      <c r="AB42" s="69"/>
      <c r="AC42" s="69"/>
      <c r="AD42" s="65"/>
      <c r="AE42" s="198"/>
      <c r="AF42" s="58"/>
      <c r="AG42" s="204"/>
      <c r="AH42" s="69"/>
      <c r="AI42" s="69"/>
      <c r="AJ42" s="69"/>
    </row>
    <row r="43" spans="1:36" ht="30" customHeight="1" x14ac:dyDescent="0.3">
      <c r="A43" s="60" t="str">
        <f t="shared" si="0"/>
        <v>Unitil</v>
      </c>
      <c r="B43" s="66" t="s">
        <v>383</v>
      </c>
      <c r="C43" s="66" t="s">
        <v>383</v>
      </c>
      <c r="D43" s="58" t="s">
        <v>422</v>
      </c>
      <c r="E43" s="58" t="s">
        <v>418</v>
      </c>
      <c r="F43" s="58" t="s">
        <v>423</v>
      </c>
      <c r="G43" s="58" t="s">
        <v>424</v>
      </c>
      <c r="H43" s="10" t="s">
        <v>387</v>
      </c>
      <c r="I43" s="58"/>
      <c r="J43" s="58"/>
      <c r="K43" s="66"/>
      <c r="L43" s="58"/>
      <c r="M43" s="58"/>
      <c r="N43" s="65"/>
      <c r="O43" s="58"/>
      <c r="P43" s="58"/>
      <c r="Q43" s="198"/>
      <c r="R43" s="65"/>
      <c r="S43" s="58"/>
      <c r="T43" s="58"/>
      <c r="U43" s="203"/>
      <c r="V43" s="65"/>
      <c r="W43" s="65"/>
      <c r="X43" s="58"/>
      <c r="Y43" s="58"/>
      <c r="Z43" s="58"/>
      <c r="AA43" s="204"/>
      <c r="AB43" s="69"/>
      <c r="AC43" s="69"/>
      <c r="AD43" s="65"/>
      <c r="AE43" s="198"/>
      <c r="AF43" s="58"/>
      <c r="AG43" s="204"/>
      <c r="AH43" s="69"/>
      <c r="AI43" s="69"/>
      <c r="AJ43" s="69"/>
    </row>
    <row r="44" spans="1:36" ht="30" customHeight="1" x14ac:dyDescent="0.3">
      <c r="A44" s="60" t="str">
        <f t="shared" si="0"/>
        <v>Unitil</v>
      </c>
      <c r="B44" s="66" t="s">
        <v>383</v>
      </c>
      <c r="C44" s="66" t="s">
        <v>383</v>
      </c>
      <c r="D44" s="58" t="s">
        <v>422</v>
      </c>
      <c r="E44" s="58" t="s">
        <v>418</v>
      </c>
      <c r="F44" s="58" t="s">
        <v>425</v>
      </c>
      <c r="G44" s="58" t="s">
        <v>424</v>
      </c>
      <c r="H44" s="10" t="s">
        <v>387</v>
      </c>
      <c r="I44" s="58"/>
      <c r="J44" s="58"/>
      <c r="K44" s="66"/>
      <c r="L44" s="58"/>
      <c r="M44" s="58"/>
      <c r="N44" s="65"/>
      <c r="O44" s="58"/>
      <c r="P44" s="58"/>
      <c r="Q44" s="198"/>
      <c r="R44" s="65"/>
      <c r="S44" s="58"/>
      <c r="T44" s="58"/>
      <c r="U44" s="203"/>
      <c r="V44" s="65"/>
      <c r="W44" s="65"/>
      <c r="X44" s="58"/>
      <c r="Y44" s="58"/>
      <c r="Z44" s="58"/>
      <c r="AA44" s="204"/>
      <c r="AB44" s="69"/>
      <c r="AC44" s="69"/>
      <c r="AD44" s="65"/>
      <c r="AE44" s="198"/>
      <c r="AF44" s="58"/>
      <c r="AG44" s="204"/>
      <c r="AH44" s="69"/>
      <c r="AI44" s="69"/>
      <c r="AJ44" s="69"/>
    </row>
    <row r="45" spans="1:36" ht="30" customHeight="1" x14ac:dyDescent="0.3">
      <c r="A45" s="60" t="str">
        <f t="shared" si="0"/>
        <v>Unitil</v>
      </c>
      <c r="B45" s="66" t="s">
        <v>383</v>
      </c>
      <c r="C45" s="66" t="s">
        <v>383</v>
      </c>
      <c r="D45" s="58" t="s">
        <v>422</v>
      </c>
      <c r="E45" s="58" t="s">
        <v>418</v>
      </c>
      <c r="F45" s="58" t="s">
        <v>426</v>
      </c>
      <c r="G45" s="58" t="s">
        <v>418</v>
      </c>
      <c r="H45" s="10" t="s">
        <v>387</v>
      </c>
      <c r="I45" s="58"/>
      <c r="J45" s="58"/>
      <c r="K45" s="66"/>
      <c r="L45" s="58"/>
      <c r="M45" s="58"/>
      <c r="N45" s="65"/>
      <c r="O45" s="58"/>
      <c r="P45" s="58"/>
      <c r="Q45" s="198"/>
      <c r="R45" s="65"/>
      <c r="S45" s="58"/>
      <c r="T45" s="58"/>
      <c r="U45" s="203"/>
      <c r="V45" s="65"/>
      <c r="W45" s="65"/>
      <c r="X45" s="58"/>
      <c r="Y45" s="58"/>
      <c r="Z45" s="58"/>
      <c r="AA45" s="204"/>
      <c r="AB45" s="69"/>
      <c r="AC45" s="69"/>
      <c r="AD45" s="65"/>
      <c r="AE45" s="198"/>
      <c r="AF45" s="58"/>
      <c r="AG45" s="204"/>
      <c r="AH45" s="69"/>
      <c r="AI45" s="69"/>
      <c r="AJ45" s="69"/>
    </row>
    <row r="46" spans="1:36" ht="30" customHeight="1" x14ac:dyDescent="0.3">
      <c r="A46" s="60" t="str">
        <f t="shared" si="0"/>
        <v>Unitil</v>
      </c>
      <c r="B46" s="66" t="s">
        <v>383</v>
      </c>
      <c r="C46" s="66" t="s">
        <v>383</v>
      </c>
      <c r="D46" s="58" t="s">
        <v>422</v>
      </c>
      <c r="E46" s="58" t="s">
        <v>418</v>
      </c>
      <c r="F46" s="496"/>
      <c r="G46" s="496"/>
      <c r="H46" s="497"/>
      <c r="I46" s="58"/>
      <c r="J46" s="58"/>
      <c r="K46" s="66"/>
      <c r="L46" s="58"/>
      <c r="M46" s="58"/>
      <c r="N46" s="65"/>
      <c r="O46" s="58"/>
      <c r="P46" s="58"/>
      <c r="Q46" s="198"/>
      <c r="R46" s="65"/>
      <c r="S46" s="58"/>
      <c r="T46" s="58"/>
      <c r="U46" s="203"/>
      <c r="V46" s="65"/>
      <c r="W46" s="65"/>
      <c r="X46" s="58"/>
      <c r="Y46" s="58"/>
      <c r="Z46" s="58"/>
      <c r="AA46" s="204"/>
      <c r="AB46" s="69"/>
      <c r="AC46" s="69"/>
      <c r="AD46" s="65"/>
      <c r="AE46" s="198"/>
      <c r="AF46" s="58"/>
      <c r="AG46" s="204"/>
      <c r="AH46" s="69"/>
      <c r="AI46" s="69"/>
      <c r="AJ46" s="69"/>
    </row>
    <row r="47" spans="1:36" ht="30" customHeight="1" x14ac:dyDescent="0.3">
      <c r="A47" s="60" t="str">
        <f t="shared" si="0"/>
        <v>Unitil</v>
      </c>
      <c r="B47" s="66" t="s">
        <v>383</v>
      </c>
      <c r="C47" s="66" t="s">
        <v>383</v>
      </c>
      <c r="D47" s="58" t="s">
        <v>427</v>
      </c>
      <c r="E47" s="58" t="s">
        <v>385</v>
      </c>
      <c r="F47" s="58" t="s">
        <v>428</v>
      </c>
      <c r="G47" s="58" t="s">
        <v>429</v>
      </c>
      <c r="H47" s="10" t="s">
        <v>387</v>
      </c>
      <c r="I47" s="58"/>
      <c r="J47" s="58"/>
      <c r="K47" s="66"/>
      <c r="L47" s="58"/>
      <c r="M47" s="58"/>
      <c r="N47" s="65"/>
      <c r="O47" s="58"/>
      <c r="P47" s="58"/>
      <c r="Q47" s="198"/>
      <c r="R47" s="65"/>
      <c r="S47" s="58"/>
      <c r="T47" s="58"/>
      <c r="U47" s="203"/>
      <c r="V47" s="65"/>
      <c r="W47" s="65"/>
      <c r="X47" s="58"/>
      <c r="Y47" s="58"/>
      <c r="Z47" s="58"/>
      <c r="AA47" s="204"/>
      <c r="AB47" s="69"/>
      <c r="AC47" s="69"/>
      <c r="AD47" s="65"/>
      <c r="AE47" s="198"/>
      <c r="AF47" s="58"/>
      <c r="AG47" s="204"/>
      <c r="AH47" s="69"/>
      <c r="AI47" s="69"/>
      <c r="AJ47" s="69"/>
    </row>
    <row r="48" spans="1:36" ht="30" customHeight="1" x14ac:dyDescent="0.3">
      <c r="A48" s="60" t="str">
        <f t="shared" si="0"/>
        <v>Unitil</v>
      </c>
      <c r="B48" s="66" t="s">
        <v>383</v>
      </c>
      <c r="C48" s="66" t="s">
        <v>383</v>
      </c>
      <c r="D48" s="58" t="s">
        <v>427</v>
      </c>
      <c r="E48" s="58" t="s">
        <v>385</v>
      </c>
      <c r="F48" s="496"/>
      <c r="G48" s="496"/>
      <c r="H48" s="497"/>
      <c r="I48" s="58"/>
      <c r="J48" s="58"/>
      <c r="K48" s="66"/>
      <c r="L48" s="58"/>
      <c r="M48" s="58"/>
      <c r="N48" s="65"/>
      <c r="O48" s="58"/>
      <c r="P48" s="58"/>
      <c r="Q48" s="198"/>
      <c r="R48" s="65"/>
      <c r="S48" s="58"/>
      <c r="T48" s="58"/>
      <c r="U48" s="203"/>
      <c r="V48" s="65"/>
      <c r="W48" s="65"/>
      <c r="X48" s="58"/>
      <c r="Y48" s="58"/>
      <c r="Z48" s="58"/>
      <c r="AA48" s="204"/>
      <c r="AB48" s="69"/>
      <c r="AC48" s="69"/>
      <c r="AD48" s="65"/>
      <c r="AE48" s="198"/>
      <c r="AF48" s="58"/>
      <c r="AG48" s="204"/>
      <c r="AH48" s="69"/>
      <c r="AI48" s="69"/>
      <c r="AJ48" s="69"/>
    </row>
    <row r="49" spans="1:36" ht="30" customHeight="1" x14ac:dyDescent="0.3">
      <c r="A49" s="60" t="str">
        <f t="shared" si="0"/>
        <v>Unitil</v>
      </c>
      <c r="B49" s="66" t="s">
        <v>383</v>
      </c>
      <c r="C49" s="66" t="s">
        <v>383</v>
      </c>
      <c r="D49" s="58" t="s">
        <v>430</v>
      </c>
      <c r="E49" s="58" t="s">
        <v>395</v>
      </c>
      <c r="F49" s="58" t="s">
        <v>431</v>
      </c>
      <c r="G49" s="58" t="s">
        <v>399</v>
      </c>
      <c r="H49" s="10" t="s">
        <v>387</v>
      </c>
      <c r="I49" s="58"/>
      <c r="J49" s="58"/>
      <c r="K49" s="66"/>
      <c r="L49" s="58"/>
      <c r="M49" s="58"/>
      <c r="N49" s="65"/>
      <c r="O49" s="58"/>
      <c r="P49" s="58"/>
      <c r="Q49" s="198"/>
      <c r="R49" s="65"/>
      <c r="S49" s="58"/>
      <c r="T49" s="58"/>
      <c r="U49" s="203"/>
      <c r="V49" s="65"/>
      <c r="W49" s="65"/>
      <c r="X49" s="58"/>
      <c r="Y49" s="58"/>
      <c r="Z49" s="58"/>
      <c r="AA49" s="204"/>
      <c r="AB49" s="69"/>
      <c r="AC49" s="69"/>
      <c r="AD49" s="65"/>
      <c r="AE49" s="198"/>
      <c r="AF49" s="58"/>
      <c r="AG49" s="204"/>
      <c r="AH49" s="69"/>
      <c r="AI49" s="69"/>
      <c r="AJ49" s="69"/>
    </row>
    <row r="50" spans="1:36" ht="30" customHeight="1" x14ac:dyDescent="0.3">
      <c r="A50" s="60" t="str">
        <f t="shared" si="0"/>
        <v>Unitil</v>
      </c>
      <c r="B50" s="66" t="s">
        <v>383</v>
      </c>
      <c r="C50" s="66" t="s">
        <v>383</v>
      </c>
      <c r="D50" s="58" t="s">
        <v>430</v>
      </c>
      <c r="E50" s="58" t="s">
        <v>395</v>
      </c>
      <c r="F50" s="58" t="s">
        <v>432</v>
      </c>
      <c r="G50" s="58" t="s">
        <v>433</v>
      </c>
      <c r="H50" s="10" t="s">
        <v>387</v>
      </c>
      <c r="I50" s="58"/>
      <c r="J50" s="58"/>
      <c r="K50" s="66"/>
      <c r="L50" s="58"/>
      <c r="M50" s="58"/>
      <c r="N50" s="65"/>
      <c r="O50" s="58"/>
      <c r="P50" s="58"/>
      <c r="Q50" s="198"/>
      <c r="R50" s="65"/>
      <c r="S50" s="58"/>
      <c r="T50" s="58"/>
      <c r="U50" s="203"/>
      <c r="V50" s="65"/>
      <c r="W50" s="65"/>
      <c r="X50" s="58"/>
      <c r="Y50" s="58"/>
      <c r="Z50" s="58"/>
      <c r="AA50" s="204"/>
      <c r="AB50" s="69"/>
      <c r="AC50" s="69"/>
      <c r="AD50" s="65"/>
      <c r="AE50" s="198"/>
      <c r="AF50" s="58"/>
      <c r="AG50" s="204"/>
      <c r="AH50" s="69"/>
      <c r="AI50" s="69"/>
      <c r="AJ50" s="69"/>
    </row>
    <row r="51" spans="1:36" ht="30" customHeight="1" x14ac:dyDescent="0.3">
      <c r="A51" s="60" t="str">
        <f t="shared" si="0"/>
        <v>Unitil</v>
      </c>
      <c r="B51" s="66" t="s">
        <v>383</v>
      </c>
      <c r="C51" s="66" t="s">
        <v>383</v>
      </c>
      <c r="D51" s="58" t="s">
        <v>430</v>
      </c>
      <c r="E51" s="58" t="s">
        <v>395</v>
      </c>
      <c r="F51" s="496"/>
      <c r="G51" s="496"/>
      <c r="H51" s="497"/>
      <c r="I51" s="58"/>
      <c r="J51" s="58"/>
      <c r="K51" s="66"/>
      <c r="L51" s="58"/>
      <c r="M51" s="58"/>
      <c r="N51" s="65"/>
      <c r="O51" s="58"/>
      <c r="P51" s="58"/>
      <c r="Q51" s="198"/>
      <c r="R51" s="65"/>
      <c r="S51" s="58"/>
      <c r="T51" s="58"/>
      <c r="U51" s="203"/>
      <c r="V51" s="65"/>
      <c r="W51" s="65"/>
      <c r="X51" s="58"/>
      <c r="Y51" s="58"/>
      <c r="Z51" s="58"/>
      <c r="AA51" s="204"/>
      <c r="AB51" s="69"/>
      <c r="AC51" s="69"/>
      <c r="AD51" s="65"/>
      <c r="AE51" s="198"/>
      <c r="AF51" s="58"/>
      <c r="AG51" s="204"/>
      <c r="AH51" s="69"/>
      <c r="AI51" s="69"/>
      <c r="AJ51" s="69"/>
    </row>
    <row r="52" spans="1:36" ht="30" customHeight="1" x14ac:dyDescent="0.3">
      <c r="A52" s="60" t="str">
        <f t="shared" si="0"/>
        <v>Unitil</v>
      </c>
      <c r="B52" s="66" t="s">
        <v>383</v>
      </c>
      <c r="C52" s="66" t="s">
        <v>383</v>
      </c>
      <c r="D52" s="58" t="s">
        <v>434</v>
      </c>
      <c r="E52" s="58" t="s">
        <v>385</v>
      </c>
      <c r="F52" s="58" t="s">
        <v>435</v>
      </c>
      <c r="G52" s="58" t="s">
        <v>385</v>
      </c>
      <c r="H52" s="10" t="s">
        <v>387</v>
      </c>
      <c r="I52" s="58"/>
      <c r="J52" s="58"/>
      <c r="K52" s="66"/>
      <c r="L52" s="58"/>
      <c r="M52" s="58"/>
      <c r="N52" s="65"/>
      <c r="O52" s="58"/>
      <c r="P52" s="58"/>
      <c r="Q52" s="198"/>
      <c r="R52" s="65"/>
      <c r="S52" s="58"/>
      <c r="T52" s="58"/>
      <c r="U52" s="203"/>
      <c r="V52" s="65"/>
      <c r="W52" s="65"/>
      <c r="X52" s="58"/>
      <c r="Y52" s="58"/>
      <c r="Z52" s="58"/>
      <c r="AA52" s="204"/>
      <c r="AB52" s="69"/>
      <c r="AC52" s="69"/>
      <c r="AD52" s="65"/>
      <c r="AE52" s="198"/>
      <c r="AF52" s="58"/>
      <c r="AG52" s="204"/>
      <c r="AH52" s="69"/>
      <c r="AI52" s="69"/>
      <c r="AJ52" s="69"/>
    </row>
    <row r="53" spans="1:36" ht="30" customHeight="1" x14ac:dyDescent="0.3">
      <c r="A53" s="60" t="str">
        <f t="shared" si="0"/>
        <v>Unitil</v>
      </c>
      <c r="B53" s="66" t="s">
        <v>383</v>
      </c>
      <c r="C53" s="66" t="s">
        <v>383</v>
      </c>
      <c r="D53" s="58" t="s">
        <v>434</v>
      </c>
      <c r="E53" s="58" t="s">
        <v>385</v>
      </c>
      <c r="F53" s="58" t="s">
        <v>436</v>
      </c>
      <c r="G53" s="58" t="s">
        <v>385</v>
      </c>
      <c r="H53" s="10" t="s">
        <v>387</v>
      </c>
      <c r="I53" s="58"/>
      <c r="J53" s="58"/>
      <c r="K53" s="66"/>
      <c r="L53" s="58"/>
      <c r="M53" s="58"/>
      <c r="N53" s="65"/>
      <c r="O53" s="58"/>
      <c r="P53" s="58"/>
      <c r="Q53" s="198"/>
      <c r="R53" s="65"/>
      <c r="S53" s="58"/>
      <c r="T53" s="58"/>
      <c r="U53" s="203"/>
      <c r="V53" s="65"/>
      <c r="W53" s="65"/>
      <c r="X53" s="58"/>
      <c r="Y53" s="58"/>
      <c r="Z53" s="58"/>
      <c r="AA53" s="204"/>
      <c r="AB53" s="69"/>
      <c r="AC53" s="69"/>
      <c r="AD53" s="65"/>
      <c r="AE53" s="198"/>
      <c r="AF53" s="58"/>
      <c r="AG53" s="204"/>
      <c r="AH53" s="69"/>
      <c r="AI53" s="69"/>
      <c r="AJ53" s="69"/>
    </row>
    <row r="54" spans="1:36" ht="30" customHeight="1" x14ac:dyDescent="0.3">
      <c r="A54" s="60" t="str">
        <f t="shared" si="0"/>
        <v>Unitil</v>
      </c>
      <c r="B54" s="66" t="s">
        <v>383</v>
      </c>
      <c r="C54" s="66" t="s">
        <v>383</v>
      </c>
      <c r="D54" s="58" t="s">
        <v>434</v>
      </c>
      <c r="E54" s="58" t="s">
        <v>385</v>
      </c>
      <c r="F54" s="58" t="s">
        <v>437</v>
      </c>
      <c r="G54" s="58" t="s">
        <v>438</v>
      </c>
      <c r="H54" s="10" t="s">
        <v>387</v>
      </c>
      <c r="I54" s="58"/>
      <c r="J54" s="58"/>
      <c r="K54" s="66"/>
      <c r="L54" s="58"/>
      <c r="M54" s="58"/>
      <c r="N54" s="65"/>
      <c r="O54" s="58"/>
      <c r="P54" s="58"/>
      <c r="Q54" s="198"/>
      <c r="R54" s="65"/>
      <c r="S54" s="58"/>
      <c r="T54" s="58"/>
      <c r="U54" s="203"/>
      <c r="V54" s="65"/>
      <c r="W54" s="65"/>
      <c r="X54" s="58"/>
      <c r="Y54" s="58"/>
      <c r="Z54" s="58"/>
      <c r="AA54" s="204"/>
      <c r="AB54" s="69"/>
      <c r="AC54" s="69"/>
      <c r="AD54" s="65"/>
      <c r="AE54" s="198"/>
      <c r="AF54" s="58"/>
      <c r="AG54" s="204"/>
      <c r="AH54" s="69"/>
      <c r="AI54" s="69"/>
      <c r="AJ54" s="69"/>
    </row>
    <row r="55" spans="1:36" ht="30" customHeight="1" x14ac:dyDescent="0.3">
      <c r="A55" s="60" t="str">
        <f t="shared" si="0"/>
        <v>Unitil</v>
      </c>
      <c r="B55" s="66" t="s">
        <v>383</v>
      </c>
      <c r="C55" s="66" t="s">
        <v>383</v>
      </c>
      <c r="D55" s="58" t="s">
        <v>434</v>
      </c>
      <c r="E55" s="58" t="s">
        <v>385</v>
      </c>
      <c r="F55" s="58" t="s">
        <v>439</v>
      </c>
      <c r="G55" s="58" t="s">
        <v>385</v>
      </c>
      <c r="H55" s="10" t="s">
        <v>387</v>
      </c>
      <c r="I55" s="58"/>
      <c r="J55" s="58"/>
      <c r="K55" s="66"/>
      <c r="L55" s="58"/>
      <c r="M55" s="58"/>
      <c r="N55" s="65"/>
      <c r="O55" s="58"/>
      <c r="P55" s="58"/>
      <c r="Q55" s="198"/>
      <c r="R55" s="65"/>
      <c r="S55" s="58"/>
      <c r="T55" s="58"/>
      <c r="U55" s="203"/>
      <c r="V55" s="65"/>
      <c r="W55" s="65"/>
      <c r="X55" s="58"/>
      <c r="Y55" s="58"/>
      <c r="Z55" s="58"/>
      <c r="AA55" s="204"/>
      <c r="AB55" s="69"/>
      <c r="AC55" s="69"/>
      <c r="AD55" s="65"/>
      <c r="AE55" s="198"/>
      <c r="AF55" s="58"/>
      <c r="AG55" s="204"/>
      <c r="AH55" s="69"/>
      <c r="AI55" s="69"/>
      <c r="AJ55" s="69"/>
    </row>
    <row r="56" spans="1:36" ht="30" customHeight="1" x14ac:dyDescent="0.3">
      <c r="A56" s="60" t="str">
        <f t="shared" si="0"/>
        <v>Unitil</v>
      </c>
      <c r="B56" s="66" t="s">
        <v>383</v>
      </c>
      <c r="C56" s="66" t="s">
        <v>383</v>
      </c>
      <c r="D56" s="58" t="s">
        <v>434</v>
      </c>
      <c r="E56" s="58" t="s">
        <v>385</v>
      </c>
      <c r="F56" s="58">
        <v>1303</v>
      </c>
      <c r="G56" s="58" t="s">
        <v>385</v>
      </c>
      <c r="H56" s="10" t="s">
        <v>387</v>
      </c>
      <c r="I56" s="58"/>
      <c r="J56" s="58"/>
      <c r="K56" s="66"/>
      <c r="L56" s="58"/>
      <c r="M56" s="58"/>
      <c r="N56" s="65"/>
      <c r="O56" s="58"/>
      <c r="P56" s="58"/>
      <c r="Q56" s="198"/>
      <c r="R56" s="65"/>
      <c r="S56" s="58"/>
      <c r="T56" s="58"/>
      <c r="U56" s="203"/>
      <c r="V56" s="65"/>
      <c r="W56" s="65"/>
      <c r="X56" s="58"/>
      <c r="Y56" s="58"/>
      <c r="Z56" s="58"/>
      <c r="AA56" s="204"/>
      <c r="AB56" s="69"/>
      <c r="AC56" s="69"/>
      <c r="AD56" s="65"/>
      <c r="AE56" s="198"/>
      <c r="AF56" s="58"/>
      <c r="AG56" s="204"/>
      <c r="AH56" s="69"/>
      <c r="AI56" s="69"/>
      <c r="AJ56" s="69"/>
    </row>
    <row r="57" spans="1:36" ht="30" customHeight="1" x14ac:dyDescent="0.3">
      <c r="A57" s="60" t="str">
        <f t="shared" si="0"/>
        <v>Unitil</v>
      </c>
      <c r="B57" s="66" t="s">
        <v>383</v>
      </c>
      <c r="C57" s="66" t="s">
        <v>383</v>
      </c>
      <c r="D57" s="58" t="s">
        <v>434</v>
      </c>
      <c r="E57" s="58" t="s">
        <v>385</v>
      </c>
      <c r="F57" s="58">
        <v>1309</v>
      </c>
      <c r="G57" s="58" t="s">
        <v>385</v>
      </c>
      <c r="H57" s="10" t="s">
        <v>387</v>
      </c>
      <c r="I57" s="58"/>
      <c r="J57" s="58"/>
      <c r="K57" s="66"/>
      <c r="L57" s="58"/>
      <c r="M57" s="58"/>
      <c r="N57" s="65"/>
      <c r="O57" s="58"/>
      <c r="P57" s="58"/>
      <c r="Q57" s="198"/>
      <c r="R57" s="65"/>
      <c r="S57" s="58"/>
      <c r="T57" s="58"/>
      <c r="U57" s="203"/>
      <c r="V57" s="65"/>
      <c r="W57" s="65"/>
      <c r="X57" s="58"/>
      <c r="Y57" s="58"/>
      <c r="Z57" s="58"/>
      <c r="AA57" s="204"/>
      <c r="AB57" s="69"/>
      <c r="AC57" s="69"/>
      <c r="AD57" s="65"/>
      <c r="AE57" s="198"/>
      <c r="AF57" s="58"/>
      <c r="AG57" s="204"/>
      <c r="AH57" s="69"/>
      <c r="AI57" s="69"/>
      <c r="AJ57" s="69"/>
    </row>
    <row r="58" spans="1:36" ht="30" customHeight="1" x14ac:dyDescent="0.3">
      <c r="A58" s="60" t="str">
        <f t="shared" si="0"/>
        <v>Unitil</v>
      </c>
      <c r="B58" s="66" t="s">
        <v>383</v>
      </c>
      <c r="C58" s="66" t="s">
        <v>383</v>
      </c>
      <c r="D58" s="58" t="s">
        <v>434</v>
      </c>
      <c r="E58" s="58" t="s">
        <v>385</v>
      </c>
      <c r="F58" s="496"/>
      <c r="G58" s="496"/>
      <c r="H58" s="497"/>
      <c r="I58" s="58"/>
      <c r="J58" s="58"/>
      <c r="K58" s="58"/>
      <c r="L58" s="58"/>
      <c r="M58" s="58"/>
      <c r="N58" s="65"/>
      <c r="O58" s="58"/>
      <c r="P58" s="58"/>
      <c r="Q58" s="204"/>
      <c r="R58" s="65"/>
      <c r="S58" s="58"/>
      <c r="T58" s="58"/>
      <c r="U58" s="203"/>
      <c r="V58" s="65"/>
      <c r="W58" s="205"/>
      <c r="X58" s="633"/>
      <c r="Y58" s="633"/>
      <c r="Z58" s="633"/>
      <c r="AA58" s="208"/>
      <c r="AB58" s="69"/>
      <c r="AC58" s="207"/>
      <c r="AD58" s="205"/>
      <c r="AE58" s="206"/>
      <c r="AF58" s="58"/>
      <c r="AG58" s="204"/>
      <c r="AH58" s="207"/>
      <c r="AI58" s="69"/>
      <c r="AJ58" s="207"/>
    </row>
    <row r="59" spans="1:36" ht="30" customHeight="1" x14ac:dyDescent="0.3">
      <c r="A59" s="60" t="str">
        <f t="shared" si="0"/>
        <v>Unitil</v>
      </c>
      <c r="B59" s="66" t="s">
        <v>383</v>
      </c>
      <c r="C59" s="66" t="s">
        <v>383</v>
      </c>
      <c r="D59" s="58" t="s">
        <v>440</v>
      </c>
      <c r="E59" s="58" t="s">
        <v>385</v>
      </c>
      <c r="F59" s="58" t="s">
        <v>441</v>
      </c>
      <c r="G59" s="58" t="s">
        <v>385</v>
      </c>
      <c r="H59" s="10" t="s">
        <v>387</v>
      </c>
      <c r="I59" s="58"/>
      <c r="J59" s="58"/>
      <c r="K59" s="58"/>
      <c r="L59" s="58"/>
      <c r="M59" s="58"/>
      <c r="N59" s="65"/>
      <c r="O59" s="58"/>
      <c r="P59" s="58"/>
      <c r="Q59" s="204"/>
      <c r="R59" s="65"/>
      <c r="S59" s="58"/>
      <c r="T59" s="58"/>
      <c r="U59" s="203"/>
      <c r="V59" s="65"/>
      <c r="W59" s="205"/>
      <c r="X59" s="633"/>
      <c r="Y59" s="633"/>
      <c r="Z59" s="633"/>
      <c r="AA59" s="208"/>
      <c r="AB59" s="69"/>
      <c r="AC59" s="207"/>
      <c r="AD59" s="205"/>
      <c r="AE59" s="208"/>
      <c r="AF59" s="58"/>
      <c r="AG59" s="204"/>
      <c r="AH59" s="207"/>
      <c r="AI59" s="69"/>
      <c r="AJ59" s="207"/>
    </row>
    <row r="60" spans="1:36" ht="30" customHeight="1" x14ac:dyDescent="0.3">
      <c r="A60" s="60" t="str">
        <f t="shared" si="0"/>
        <v>Unitil</v>
      </c>
      <c r="B60" s="66" t="s">
        <v>383</v>
      </c>
      <c r="C60" s="66" t="s">
        <v>383</v>
      </c>
      <c r="D60" s="58" t="s">
        <v>440</v>
      </c>
      <c r="E60" s="58" t="s">
        <v>385</v>
      </c>
      <c r="F60" s="58" t="s">
        <v>442</v>
      </c>
      <c r="G60" s="58" t="s">
        <v>385</v>
      </c>
      <c r="H60" s="10" t="s">
        <v>387</v>
      </c>
      <c r="I60" s="58"/>
      <c r="J60" s="58"/>
      <c r="K60" s="58"/>
      <c r="L60" s="58"/>
      <c r="M60" s="58"/>
      <c r="N60" s="65"/>
      <c r="O60" s="58"/>
      <c r="P60" s="58"/>
      <c r="Q60" s="204"/>
      <c r="R60" s="65"/>
      <c r="S60" s="58"/>
      <c r="T60" s="58"/>
      <c r="U60" s="203"/>
      <c r="V60" s="65"/>
      <c r="W60" s="205"/>
      <c r="X60" s="633"/>
      <c r="Y60" s="633"/>
      <c r="Z60" s="633"/>
      <c r="AA60" s="208"/>
      <c r="AB60" s="69"/>
      <c r="AC60" s="207"/>
      <c r="AD60" s="205"/>
      <c r="AE60" s="208"/>
      <c r="AF60" s="58"/>
      <c r="AG60" s="204"/>
      <c r="AH60" s="207"/>
      <c r="AI60" s="69"/>
      <c r="AJ60" s="207"/>
    </row>
    <row r="61" spans="1:36" ht="30" customHeight="1" x14ac:dyDescent="0.3">
      <c r="A61" s="60" t="str">
        <f t="shared" si="0"/>
        <v>Unitil</v>
      </c>
      <c r="B61" s="66" t="s">
        <v>383</v>
      </c>
      <c r="C61" s="66" t="s">
        <v>383</v>
      </c>
      <c r="D61" s="58" t="s">
        <v>440</v>
      </c>
      <c r="E61" s="58" t="s">
        <v>385</v>
      </c>
      <c r="F61" s="58" t="s">
        <v>443</v>
      </c>
      <c r="G61" s="58" t="s">
        <v>385</v>
      </c>
      <c r="H61" s="10" t="s">
        <v>387</v>
      </c>
      <c r="I61" s="58"/>
      <c r="J61" s="58"/>
      <c r="K61" s="58"/>
      <c r="L61" s="58"/>
      <c r="M61" s="58"/>
      <c r="N61" s="65"/>
      <c r="O61" s="58"/>
      <c r="P61" s="58"/>
      <c r="Q61" s="204"/>
      <c r="R61" s="65"/>
      <c r="S61" s="58"/>
      <c r="T61" s="58"/>
      <c r="U61" s="203"/>
      <c r="V61" s="65"/>
      <c r="W61" s="205"/>
      <c r="X61" s="633"/>
      <c r="Y61" s="633"/>
      <c r="Z61" s="633"/>
      <c r="AA61" s="208"/>
      <c r="AB61" s="69"/>
      <c r="AC61" s="207"/>
      <c r="AD61" s="205"/>
      <c r="AE61" s="208"/>
      <c r="AF61" s="58"/>
      <c r="AG61" s="204"/>
      <c r="AH61" s="207"/>
      <c r="AI61" s="69"/>
      <c r="AJ61" s="207"/>
    </row>
    <row r="62" spans="1:36" ht="30" customHeight="1" x14ac:dyDescent="0.3">
      <c r="A62" s="60" t="str">
        <f t="shared" si="0"/>
        <v>Unitil</v>
      </c>
      <c r="B62" s="66" t="s">
        <v>383</v>
      </c>
      <c r="C62" s="66" t="s">
        <v>383</v>
      </c>
      <c r="D62" s="58" t="s">
        <v>440</v>
      </c>
      <c r="E62" s="58" t="s">
        <v>385</v>
      </c>
      <c r="F62" s="58" t="s">
        <v>444</v>
      </c>
      <c r="G62" s="58" t="s">
        <v>385</v>
      </c>
      <c r="H62" s="10" t="s">
        <v>387</v>
      </c>
      <c r="I62" s="58"/>
      <c r="J62" s="58"/>
      <c r="K62" s="58"/>
      <c r="L62" s="58"/>
      <c r="M62" s="58"/>
      <c r="N62" s="65"/>
      <c r="O62" s="58"/>
      <c r="P62" s="58"/>
      <c r="Q62" s="204"/>
      <c r="R62" s="65"/>
      <c r="S62" s="58"/>
      <c r="T62" s="58"/>
      <c r="U62" s="203"/>
      <c r="V62" s="65"/>
      <c r="W62" s="205"/>
      <c r="X62" s="633"/>
      <c r="Y62" s="633"/>
      <c r="Z62" s="633"/>
      <c r="AA62" s="208"/>
      <c r="AB62" s="69"/>
      <c r="AC62" s="207"/>
      <c r="AD62" s="205"/>
      <c r="AE62" s="208"/>
      <c r="AF62" s="58"/>
      <c r="AG62" s="204"/>
      <c r="AH62" s="207"/>
      <c r="AI62" s="69"/>
      <c r="AJ62" s="207"/>
    </row>
    <row r="63" spans="1:36" ht="30" customHeight="1" x14ac:dyDescent="0.3">
      <c r="A63" s="60" t="str">
        <f t="shared" si="0"/>
        <v>Unitil</v>
      </c>
      <c r="B63" s="66" t="s">
        <v>383</v>
      </c>
      <c r="C63" s="66" t="s">
        <v>383</v>
      </c>
      <c r="D63" s="58" t="s">
        <v>440</v>
      </c>
      <c r="E63" s="58" t="s">
        <v>385</v>
      </c>
      <c r="F63" s="58" t="s">
        <v>445</v>
      </c>
      <c r="G63" s="58" t="s">
        <v>385</v>
      </c>
      <c r="H63" s="196" t="s">
        <v>387</v>
      </c>
      <c r="I63" s="58"/>
      <c r="J63" s="58"/>
      <c r="K63" s="58"/>
      <c r="L63" s="58"/>
      <c r="M63" s="58"/>
      <c r="N63" s="65"/>
      <c r="O63" s="58"/>
      <c r="P63" s="58"/>
      <c r="Q63" s="204"/>
      <c r="R63" s="65"/>
      <c r="S63" s="58"/>
      <c r="T63" s="58"/>
      <c r="U63" s="203"/>
      <c r="V63" s="65"/>
      <c r="W63" s="205"/>
      <c r="X63" s="633"/>
      <c r="Y63" s="633"/>
      <c r="Z63" s="633"/>
      <c r="AA63" s="208"/>
      <c r="AB63" s="69"/>
      <c r="AC63" s="207"/>
      <c r="AD63" s="205"/>
      <c r="AE63" s="208"/>
      <c r="AF63" s="58"/>
      <c r="AG63" s="204"/>
      <c r="AH63" s="207"/>
      <c r="AI63" s="69"/>
      <c r="AJ63" s="207"/>
    </row>
    <row r="64" spans="1:36" ht="30" customHeight="1" thickBot="1" x14ac:dyDescent="0.35">
      <c r="A64" s="60" t="str">
        <f t="shared" si="0"/>
        <v>Unitil</v>
      </c>
      <c r="B64" s="66" t="s">
        <v>383</v>
      </c>
      <c r="C64" s="66" t="s">
        <v>383</v>
      </c>
      <c r="D64" s="58" t="s">
        <v>440</v>
      </c>
      <c r="E64" s="58" t="s">
        <v>385</v>
      </c>
      <c r="F64" s="496"/>
      <c r="G64" s="496"/>
      <c r="H64" s="508"/>
      <c r="I64" s="212"/>
      <c r="J64" s="58"/>
      <c r="K64" s="212"/>
      <c r="L64" s="212"/>
      <c r="M64" s="212"/>
      <c r="N64" s="211"/>
      <c r="O64" s="212"/>
      <c r="P64" s="212"/>
      <c r="Q64" s="213"/>
      <c r="R64" s="604"/>
      <c r="S64" s="209"/>
      <c r="T64" s="209"/>
      <c r="U64" s="210"/>
      <c r="V64" s="604"/>
      <c r="W64" s="634"/>
      <c r="X64" s="635"/>
      <c r="Y64" s="635"/>
      <c r="Z64" s="635"/>
      <c r="AA64" s="636"/>
      <c r="AB64" s="69"/>
      <c r="AC64" s="216"/>
      <c r="AD64" s="214"/>
      <c r="AE64" s="215"/>
      <c r="AF64" s="209"/>
      <c r="AG64" s="605"/>
      <c r="AH64" s="216"/>
      <c r="AI64" s="509"/>
      <c r="AJ64" s="216"/>
    </row>
    <row r="65" spans="1:36" ht="15" thickBot="1" x14ac:dyDescent="0.35">
      <c r="A65" s="236" t="s">
        <v>31</v>
      </c>
      <c r="B65" s="871"/>
      <c r="C65" s="872"/>
      <c r="D65" s="872"/>
      <c r="E65" s="872"/>
      <c r="F65" s="872"/>
      <c r="G65" s="872"/>
      <c r="H65" s="873"/>
      <c r="I65" s="200">
        <f>SUM(I8:I64)</f>
        <v>0</v>
      </c>
      <c r="J65" s="200">
        <f t="shared" ref="J65:AI65" si="1">SUM(J8:J64)</f>
        <v>0</v>
      </c>
      <c r="K65" s="200">
        <f>SUM(K8:K64)</f>
        <v>0</v>
      </c>
      <c r="L65" s="200">
        <f t="shared" ref="L65" si="2">SUM(L8:L64)</f>
        <v>0</v>
      </c>
      <c r="M65" s="200">
        <f t="shared" si="1"/>
        <v>0</v>
      </c>
      <c r="N65" s="199">
        <f t="shared" si="1"/>
        <v>0</v>
      </c>
      <c r="O65" s="200">
        <f t="shared" si="1"/>
        <v>0</v>
      </c>
      <c r="P65" s="200">
        <f t="shared" si="1"/>
        <v>0</v>
      </c>
      <c r="Q65" s="201">
        <f t="shared" si="1"/>
        <v>0</v>
      </c>
      <c r="R65" s="199">
        <f t="shared" si="1"/>
        <v>0</v>
      </c>
      <c r="S65" s="200">
        <f t="shared" si="1"/>
        <v>0</v>
      </c>
      <c r="T65" s="200">
        <f t="shared" si="1"/>
        <v>0</v>
      </c>
      <c r="U65" s="200">
        <f t="shared" si="1"/>
        <v>0</v>
      </c>
      <c r="V65" s="200">
        <f t="shared" si="1"/>
        <v>0</v>
      </c>
      <c r="W65" s="199">
        <f t="shared" si="1"/>
        <v>0</v>
      </c>
      <c r="X65" s="632"/>
      <c r="Y65" s="632"/>
      <c r="Z65" s="632"/>
      <c r="AA65" s="201">
        <f t="shared" si="1"/>
        <v>0</v>
      </c>
      <c r="AB65" s="202">
        <f t="shared" si="1"/>
        <v>0</v>
      </c>
      <c r="AC65" s="202">
        <f t="shared" si="1"/>
        <v>0</v>
      </c>
      <c r="AD65" s="199">
        <f t="shared" si="1"/>
        <v>0</v>
      </c>
      <c r="AE65" s="201">
        <f t="shared" si="1"/>
        <v>0</v>
      </c>
      <c r="AF65" s="200">
        <f t="shared" si="1"/>
        <v>0</v>
      </c>
      <c r="AG65" s="200">
        <f t="shared" si="1"/>
        <v>0</v>
      </c>
      <c r="AH65" s="202">
        <f t="shared" si="1"/>
        <v>0</v>
      </c>
      <c r="AI65" s="202">
        <f t="shared" si="1"/>
        <v>0</v>
      </c>
      <c r="AJ65" s="202">
        <f>SUM(AJ8:AJ64)</f>
        <v>0</v>
      </c>
    </row>
    <row r="67" spans="1:36" x14ac:dyDescent="0.3">
      <c r="A67" s="38" t="s">
        <v>32</v>
      </c>
      <c r="C67" s="62"/>
    </row>
    <row r="68" spans="1:36" x14ac:dyDescent="0.3">
      <c r="A68" s="194" t="s">
        <v>33</v>
      </c>
      <c r="B68" s="152"/>
      <c r="C68" s="217"/>
      <c r="D68" s="146"/>
      <c r="E68" s="146"/>
      <c r="F68" s="146"/>
      <c r="G68" s="146"/>
      <c r="H68" s="146"/>
      <c r="I68" s="153"/>
      <c r="J68" s="218"/>
      <c r="K68" s="218"/>
      <c r="L68" s="218"/>
      <c r="M68" s="218"/>
      <c r="N68" s="193"/>
      <c r="O68" s="193"/>
    </row>
    <row r="69" spans="1:36" ht="15" customHeight="1" x14ac:dyDescent="0.3">
      <c r="A69" s="164" t="s">
        <v>34</v>
      </c>
      <c r="B69" s="341"/>
      <c r="C69" s="160"/>
      <c r="D69" s="160"/>
      <c r="E69" s="160"/>
      <c r="F69" s="160"/>
      <c r="G69" s="160"/>
      <c r="H69" s="160"/>
      <c r="I69" s="186"/>
      <c r="J69" s="170"/>
      <c r="K69" s="170"/>
      <c r="L69" s="170"/>
      <c r="M69" s="170"/>
      <c r="N69" s="99"/>
      <c r="O69" s="99"/>
      <c r="P69" s="6"/>
      <c r="Q69" s="6"/>
    </row>
    <row r="70" spans="1:36" ht="15" customHeight="1" x14ac:dyDescent="0.3">
      <c r="A70" s="164" t="s">
        <v>35</v>
      </c>
      <c r="B70" s="341"/>
      <c r="C70" s="160"/>
      <c r="D70" s="160"/>
      <c r="E70" s="160"/>
      <c r="F70" s="160"/>
      <c r="G70" s="160"/>
      <c r="H70" s="160"/>
      <c r="I70" s="186"/>
      <c r="J70" s="170"/>
      <c r="K70" s="170"/>
      <c r="L70" s="170"/>
      <c r="M70" s="170"/>
      <c r="N70" s="99"/>
      <c r="O70" s="99"/>
      <c r="P70" s="6"/>
      <c r="Q70" s="6"/>
    </row>
    <row r="71" spans="1:36" ht="15" customHeight="1" x14ac:dyDescent="0.3">
      <c r="A71" s="164" t="s">
        <v>36</v>
      </c>
      <c r="B71" s="341"/>
      <c r="C71" s="160"/>
      <c r="D71" s="160"/>
      <c r="E71" s="160"/>
      <c r="F71" s="160"/>
      <c r="G71" s="160"/>
      <c r="H71" s="160"/>
      <c r="I71" s="186"/>
      <c r="J71" s="170"/>
      <c r="K71" s="170"/>
      <c r="L71" s="170"/>
      <c r="M71" s="170"/>
      <c r="N71" s="99"/>
      <c r="O71" s="99"/>
      <c r="P71" s="6"/>
      <c r="Q71" s="6"/>
    </row>
    <row r="72" spans="1:36" ht="15" customHeight="1" x14ac:dyDescent="0.3">
      <c r="A72" s="167" t="s">
        <v>37</v>
      </c>
      <c r="B72" s="342"/>
      <c r="C72" s="171"/>
      <c r="D72" s="171"/>
      <c r="E72" s="171"/>
      <c r="F72" s="171"/>
      <c r="G72" s="171"/>
      <c r="H72" s="171"/>
      <c r="I72" s="189"/>
      <c r="J72" s="170"/>
      <c r="K72" s="170"/>
      <c r="L72" s="170"/>
      <c r="M72" s="170"/>
      <c r="N72" s="71"/>
      <c r="O72" s="71"/>
    </row>
  </sheetData>
  <mergeCells count="8">
    <mergeCell ref="W6:AA6"/>
    <mergeCell ref="AD6:AE6"/>
    <mergeCell ref="AF6:AG6"/>
    <mergeCell ref="B65:H65"/>
    <mergeCell ref="A6:H6"/>
    <mergeCell ref="I6:M6"/>
    <mergeCell ref="N6:Q6"/>
    <mergeCell ref="R6:U6"/>
  </mergeCells>
  <printOptions headings="1" gridLines="1"/>
  <pageMargins left="0.7" right="0.7" top="0.75" bottom="0.75" header="0.3" footer="0.3"/>
  <pageSetup scale="2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82"/>
  <sheetViews>
    <sheetView zoomScaleNormal="100" workbookViewId="0">
      <selection activeCell="S57" sqref="S57"/>
    </sheetView>
  </sheetViews>
  <sheetFormatPr defaultColWidth="9.109375" defaultRowHeight="14.4" x14ac:dyDescent="0.3"/>
  <cols>
    <col min="1" max="1" width="23.33203125" style="123" customWidth="1"/>
    <col min="2" max="3" width="15.6640625" style="57" customWidth="1"/>
    <col min="4" max="4" width="15.6640625" style="124" customWidth="1"/>
    <col min="5" max="6" width="22" style="124" bestFit="1" customWidth="1"/>
    <col min="7" max="7" width="21.6640625" style="124" bestFit="1" customWidth="1"/>
    <col min="8" max="8" width="24.109375" style="124" customWidth="1"/>
    <col min="9" max="9" width="10.6640625" style="123" customWidth="1"/>
    <col min="10" max="10" width="13.5546875" style="123" customWidth="1"/>
    <col min="11" max="11" width="12.5546875" style="123" customWidth="1"/>
    <col min="12" max="12" width="12" style="123" customWidth="1"/>
    <col min="13" max="15" width="10.6640625" style="123" customWidth="1"/>
    <col min="16" max="16" width="13" style="123" customWidth="1"/>
    <col min="17" max="17" width="10.6640625" style="123" customWidth="1"/>
    <col min="18" max="21" width="13.6640625" style="123" customWidth="1"/>
    <col min="22" max="22" width="19" style="123" customWidth="1"/>
    <col min="23" max="23" width="13.88671875" style="123" bestFit="1" customWidth="1"/>
    <col min="24" max="24" width="13.6640625" style="123" customWidth="1"/>
    <col min="25" max="25" width="18.109375" style="123" customWidth="1"/>
    <col min="26" max="26" width="13.6640625" style="123" customWidth="1"/>
    <col min="27" max="27" width="15.44140625" style="123" customWidth="1"/>
    <col min="28" max="28" width="14.44140625" style="123" customWidth="1"/>
    <col min="29" max="29" width="17" style="123" bestFit="1" customWidth="1"/>
    <col min="30" max="30" width="21.5546875" style="123" bestFit="1" customWidth="1"/>
    <col min="31" max="31" width="15.5546875" style="123" bestFit="1" customWidth="1"/>
    <col min="32" max="33" width="13.6640625" style="123" customWidth="1"/>
    <col min="34" max="34" width="15.5546875" style="123" customWidth="1"/>
    <col min="35" max="35" width="17.88671875" style="123" customWidth="1"/>
    <col min="36" max="36" width="23.88671875" style="123" customWidth="1"/>
    <col min="37" max="16384" width="9.109375" style="123"/>
  </cols>
  <sheetData>
    <row r="1" spans="1:36" x14ac:dyDescent="0.3">
      <c r="A1" s="1" t="s">
        <v>40</v>
      </c>
      <c r="B1" s="59" t="s">
        <v>1</v>
      </c>
      <c r="C1" s="59"/>
      <c r="D1" s="250" t="s">
        <v>2</v>
      </c>
      <c r="E1" s="250" t="s">
        <v>69</v>
      </c>
      <c r="G1" s="1"/>
      <c r="H1" s="1"/>
    </row>
    <row r="2" spans="1:36" x14ac:dyDescent="0.3">
      <c r="A2" s="1"/>
      <c r="B2" s="59"/>
      <c r="C2" s="59"/>
      <c r="D2" s="250" t="s">
        <v>4</v>
      </c>
      <c r="E2" s="265">
        <v>2025</v>
      </c>
      <c r="F2" s="123"/>
      <c r="G2" s="1"/>
      <c r="H2" s="1"/>
    </row>
    <row r="3" spans="1:36" x14ac:dyDescent="0.3">
      <c r="A3" s="2"/>
      <c r="B3" s="56"/>
      <c r="C3" s="56"/>
      <c r="D3" s="2"/>
      <c r="E3" s="2"/>
      <c r="G3" s="123"/>
      <c r="H3" s="123"/>
    </row>
    <row r="4" spans="1:36" ht="15" customHeight="1" x14ac:dyDescent="0.3">
      <c r="A4" s="116" t="s">
        <v>5</v>
      </c>
      <c r="B4" s="124"/>
      <c r="C4" s="124"/>
      <c r="I4" s="124"/>
      <c r="J4" s="124"/>
      <c r="K4" s="124"/>
      <c r="L4" s="124"/>
      <c r="M4" s="124"/>
      <c r="N4" s="124"/>
      <c r="O4" s="124"/>
      <c r="P4" s="124"/>
      <c r="Q4" s="124"/>
    </row>
    <row r="5" spans="1:36" ht="15" thickBot="1" x14ac:dyDescent="0.35">
      <c r="I5" s="124"/>
    </row>
    <row r="6" spans="1:36" ht="32.25" customHeight="1" thickBot="1" x14ac:dyDescent="0.35">
      <c r="A6" s="874" t="s">
        <v>6</v>
      </c>
      <c r="B6" s="875"/>
      <c r="C6" s="875"/>
      <c r="D6" s="875"/>
      <c r="E6" s="875"/>
      <c r="F6" s="875"/>
      <c r="G6" s="875"/>
      <c r="H6" s="876"/>
      <c r="I6" s="880" t="s">
        <v>343</v>
      </c>
      <c r="J6" s="881"/>
      <c r="K6" s="881"/>
      <c r="L6" s="881"/>
      <c r="M6" s="881"/>
      <c r="N6" s="882" t="s">
        <v>7</v>
      </c>
      <c r="O6" s="883"/>
      <c r="P6" s="883"/>
      <c r="Q6" s="884"/>
      <c r="R6" s="882" t="s">
        <v>8</v>
      </c>
      <c r="S6" s="883"/>
      <c r="T6" s="883"/>
      <c r="U6" s="885"/>
      <c r="V6" s="593" t="s">
        <v>9</v>
      </c>
      <c r="W6" s="877" t="s">
        <v>10</v>
      </c>
      <c r="X6" s="878"/>
      <c r="Y6" s="878"/>
      <c r="Z6" s="878"/>
      <c r="AA6" s="879"/>
      <c r="AB6" s="67" t="s">
        <v>11</v>
      </c>
      <c r="AC6" s="67" t="s">
        <v>335</v>
      </c>
      <c r="AD6" s="869" t="s">
        <v>336</v>
      </c>
      <c r="AE6" s="870"/>
      <c r="AF6" s="867" t="s">
        <v>342</v>
      </c>
      <c r="AG6" s="868"/>
      <c r="AH6" s="67" t="s">
        <v>341</v>
      </c>
      <c r="AI6" s="67" t="s">
        <v>362</v>
      </c>
      <c r="AJ6" s="67" t="s">
        <v>340</v>
      </c>
    </row>
    <row r="7" spans="1:36" ht="36" x14ac:dyDescent="0.3">
      <c r="A7" s="64" t="s">
        <v>2</v>
      </c>
      <c r="B7" s="64" t="s">
        <v>12</v>
      </c>
      <c r="C7" s="64" t="s">
        <v>13</v>
      </c>
      <c r="D7" s="27" t="s">
        <v>14</v>
      </c>
      <c r="E7" s="27" t="s">
        <v>15</v>
      </c>
      <c r="F7" s="27" t="s">
        <v>16</v>
      </c>
      <c r="G7" s="27" t="s">
        <v>17</v>
      </c>
      <c r="H7" s="197" t="s">
        <v>18</v>
      </c>
      <c r="I7" s="28" t="s">
        <v>361</v>
      </c>
      <c r="J7" s="29" t="s">
        <v>356</v>
      </c>
      <c r="K7" s="29" t="s">
        <v>364</v>
      </c>
      <c r="L7" s="29" t="s">
        <v>365</v>
      </c>
      <c r="M7" s="29" t="s">
        <v>367</v>
      </c>
      <c r="N7" s="28" t="s">
        <v>368</v>
      </c>
      <c r="O7" s="31" t="s">
        <v>369</v>
      </c>
      <c r="P7" s="31" t="s">
        <v>367</v>
      </c>
      <c r="Q7" s="32" t="s">
        <v>382</v>
      </c>
      <c r="R7" s="28" t="s">
        <v>372</v>
      </c>
      <c r="S7" s="31" t="s">
        <v>373</v>
      </c>
      <c r="T7" s="30" t="s">
        <v>374</v>
      </c>
      <c r="U7" s="29" t="s">
        <v>375</v>
      </c>
      <c r="V7" s="33" t="s">
        <v>447</v>
      </c>
      <c r="W7" s="33" t="s">
        <v>10</v>
      </c>
      <c r="X7" s="31" t="s">
        <v>335</v>
      </c>
      <c r="Y7" s="31" t="s">
        <v>377</v>
      </c>
      <c r="Z7" s="31" t="s">
        <v>378</v>
      </c>
      <c r="AA7" s="34" t="s">
        <v>359</v>
      </c>
      <c r="AB7" s="68" t="s">
        <v>360</v>
      </c>
      <c r="AC7" s="68" t="s">
        <v>335</v>
      </c>
      <c r="AD7" s="33" t="s">
        <v>339</v>
      </c>
      <c r="AE7" s="34" t="s">
        <v>338</v>
      </c>
      <c r="AF7" s="31" t="s">
        <v>358</v>
      </c>
      <c r="AG7" s="34" t="s">
        <v>380</v>
      </c>
      <c r="AH7" s="68"/>
      <c r="AI7" s="68" t="s">
        <v>337</v>
      </c>
      <c r="AJ7" s="68"/>
    </row>
    <row r="8" spans="1:36" ht="30" customHeight="1" x14ac:dyDescent="0.3">
      <c r="A8" s="60" t="str">
        <f t="shared" ref="A8:A64" si="0">$E$1</f>
        <v>Unitil</v>
      </c>
      <c r="B8" s="66" t="s">
        <v>383</v>
      </c>
      <c r="C8" s="66" t="s">
        <v>383</v>
      </c>
      <c r="D8" s="58" t="s">
        <v>384</v>
      </c>
      <c r="E8" s="58" t="s">
        <v>385</v>
      </c>
      <c r="F8" s="58" t="s">
        <v>386</v>
      </c>
      <c r="G8" s="58" t="s">
        <v>385</v>
      </c>
      <c r="H8" s="10" t="s">
        <v>387</v>
      </c>
      <c r="I8" s="58"/>
      <c r="J8" s="58"/>
      <c r="K8" s="66"/>
      <c r="L8" s="58"/>
      <c r="M8" s="58"/>
      <c r="N8" s="65"/>
      <c r="O8" s="58"/>
      <c r="P8" s="58"/>
      <c r="Q8" s="198"/>
      <c r="R8" s="65"/>
      <c r="S8" s="58"/>
      <c r="T8" s="58"/>
      <c r="U8" s="203"/>
      <c r="V8" s="65"/>
      <c r="W8" s="65"/>
      <c r="X8" s="58"/>
      <c r="Y8" s="58"/>
      <c r="Z8" s="58"/>
      <c r="AA8" s="204"/>
      <c r="AB8" s="69"/>
      <c r="AC8" s="69"/>
      <c r="AD8" s="65"/>
      <c r="AE8" s="198"/>
      <c r="AF8" s="58"/>
      <c r="AG8" s="204"/>
      <c r="AH8" s="69"/>
      <c r="AI8" s="69"/>
      <c r="AJ8" s="69"/>
    </row>
    <row r="9" spans="1:36" ht="30" customHeight="1" x14ac:dyDescent="0.3">
      <c r="A9" s="60" t="str">
        <f t="shared" si="0"/>
        <v>Unitil</v>
      </c>
      <c r="B9" s="66" t="s">
        <v>383</v>
      </c>
      <c r="C9" s="66" t="s">
        <v>383</v>
      </c>
      <c r="D9" s="58" t="s">
        <v>384</v>
      </c>
      <c r="E9" s="58" t="s">
        <v>385</v>
      </c>
      <c r="F9" s="58" t="s">
        <v>388</v>
      </c>
      <c r="G9" s="58" t="s">
        <v>385</v>
      </c>
      <c r="H9" s="10" t="s">
        <v>387</v>
      </c>
      <c r="I9" s="58"/>
      <c r="J9" s="58"/>
      <c r="K9" s="66"/>
      <c r="L9" s="58"/>
      <c r="M9" s="58"/>
      <c r="N9" s="65"/>
      <c r="O9" s="58"/>
      <c r="P9" s="58"/>
      <c r="Q9" s="198"/>
      <c r="R9" s="65"/>
      <c r="S9" s="58"/>
      <c r="T9" s="58"/>
      <c r="U9" s="203"/>
      <c r="V9" s="65"/>
      <c r="W9" s="65"/>
      <c r="X9" s="58"/>
      <c r="Y9" s="58"/>
      <c r="Z9" s="58"/>
      <c r="AA9" s="204"/>
      <c r="AB9" s="69"/>
      <c r="AC9" s="69"/>
      <c r="AD9" s="65"/>
      <c r="AE9" s="198"/>
      <c r="AF9" s="58"/>
      <c r="AG9" s="204"/>
      <c r="AH9" s="69"/>
      <c r="AI9" s="69"/>
      <c r="AJ9" s="69"/>
    </row>
    <row r="10" spans="1:36" ht="30" customHeight="1" x14ac:dyDescent="0.3">
      <c r="A10" s="60" t="str">
        <f t="shared" si="0"/>
        <v>Unitil</v>
      </c>
      <c r="B10" s="66" t="s">
        <v>383</v>
      </c>
      <c r="C10" s="66" t="s">
        <v>383</v>
      </c>
      <c r="D10" s="58" t="s">
        <v>384</v>
      </c>
      <c r="E10" s="58" t="s">
        <v>385</v>
      </c>
      <c r="F10" s="58" t="s">
        <v>389</v>
      </c>
      <c r="G10" s="58" t="s">
        <v>385</v>
      </c>
      <c r="H10" s="10" t="s">
        <v>387</v>
      </c>
      <c r="I10" s="58"/>
      <c r="J10" s="58"/>
      <c r="K10" s="66"/>
      <c r="L10" s="58"/>
      <c r="M10" s="58"/>
      <c r="N10" s="65"/>
      <c r="O10" s="58"/>
      <c r="P10" s="58"/>
      <c r="Q10" s="198"/>
      <c r="R10" s="65"/>
      <c r="S10" s="58"/>
      <c r="T10" s="58"/>
      <c r="U10" s="203"/>
      <c r="V10" s="65"/>
      <c r="W10" s="65"/>
      <c r="X10" s="58"/>
      <c r="Y10" s="58"/>
      <c r="Z10" s="58"/>
      <c r="AA10" s="204"/>
      <c r="AB10" s="69"/>
      <c r="AC10" s="69"/>
      <c r="AD10" s="65"/>
      <c r="AE10" s="198"/>
      <c r="AF10" s="58"/>
      <c r="AG10" s="204"/>
      <c r="AH10" s="69"/>
      <c r="AI10" s="69"/>
      <c r="AJ10" s="69"/>
    </row>
    <row r="11" spans="1:36" ht="30" customHeight="1" x14ac:dyDescent="0.3">
      <c r="A11" s="60" t="str">
        <f t="shared" si="0"/>
        <v>Unitil</v>
      </c>
      <c r="B11" s="66" t="s">
        <v>383</v>
      </c>
      <c r="C11" s="66" t="s">
        <v>383</v>
      </c>
      <c r="D11" s="58" t="s">
        <v>384</v>
      </c>
      <c r="E11" s="58" t="s">
        <v>385</v>
      </c>
      <c r="F11" s="58" t="s">
        <v>390</v>
      </c>
      <c r="G11" s="58" t="s">
        <v>385</v>
      </c>
      <c r="H11" s="10" t="s">
        <v>387</v>
      </c>
      <c r="I11" s="58"/>
      <c r="J11" s="58"/>
      <c r="K11" s="66"/>
      <c r="L11" s="58"/>
      <c r="M11" s="58"/>
      <c r="N11" s="65"/>
      <c r="O11" s="58"/>
      <c r="P11" s="58"/>
      <c r="Q11" s="198"/>
      <c r="R11" s="65"/>
      <c r="S11" s="58"/>
      <c r="T11" s="58"/>
      <c r="U11" s="203"/>
      <c r="V11" s="65"/>
      <c r="W11" s="65"/>
      <c r="X11" s="58"/>
      <c r="Y11" s="58"/>
      <c r="Z11" s="58"/>
      <c r="AA11" s="204"/>
      <c r="AB11" s="69"/>
      <c r="AC11" s="69"/>
      <c r="AD11" s="65"/>
      <c r="AE11" s="198"/>
      <c r="AF11" s="58"/>
      <c r="AG11" s="204"/>
      <c r="AH11" s="69"/>
      <c r="AI11" s="69"/>
      <c r="AJ11" s="69"/>
    </row>
    <row r="12" spans="1:36" ht="30" customHeight="1" x14ac:dyDescent="0.3">
      <c r="A12" s="60" t="str">
        <f>$E$1</f>
        <v>Unitil</v>
      </c>
      <c r="B12" s="66" t="s">
        <v>383</v>
      </c>
      <c r="C12" s="66" t="s">
        <v>383</v>
      </c>
      <c r="D12" s="58" t="s">
        <v>384</v>
      </c>
      <c r="E12" s="58" t="s">
        <v>385</v>
      </c>
      <c r="F12" s="496"/>
      <c r="G12" s="496"/>
      <c r="H12" s="497"/>
      <c r="I12" s="58"/>
      <c r="J12" s="58"/>
      <c r="K12" s="66"/>
      <c r="L12" s="58"/>
      <c r="M12" s="58"/>
      <c r="N12" s="65"/>
      <c r="O12" s="58"/>
      <c r="P12" s="58"/>
      <c r="Q12" s="198"/>
      <c r="R12" s="65"/>
      <c r="S12" s="58"/>
      <c r="T12" s="58"/>
      <c r="U12" s="203"/>
      <c r="V12" s="65"/>
      <c r="W12" s="65"/>
      <c r="X12" s="58"/>
      <c r="Y12" s="58"/>
      <c r="Z12" s="58"/>
      <c r="AA12" s="204"/>
      <c r="AB12" s="69"/>
      <c r="AC12" s="69"/>
      <c r="AD12" s="65"/>
      <c r="AE12" s="198"/>
      <c r="AF12" s="58"/>
      <c r="AG12" s="204"/>
      <c r="AH12" s="69"/>
      <c r="AI12" s="69"/>
      <c r="AJ12" s="69"/>
    </row>
    <row r="13" spans="1:36" ht="30" customHeight="1" x14ac:dyDescent="0.3">
      <c r="A13" s="60" t="str">
        <f t="shared" si="0"/>
        <v>Unitil</v>
      </c>
      <c r="B13" s="66" t="s">
        <v>383</v>
      </c>
      <c r="C13" s="66" t="s">
        <v>383</v>
      </c>
      <c r="D13" s="58" t="s">
        <v>391</v>
      </c>
      <c r="E13" s="58" t="s">
        <v>385</v>
      </c>
      <c r="F13" s="58" t="s">
        <v>392</v>
      </c>
      <c r="G13" s="58" t="s">
        <v>385</v>
      </c>
      <c r="H13" s="10" t="s">
        <v>387</v>
      </c>
      <c r="I13" s="58"/>
      <c r="J13" s="58"/>
      <c r="K13" s="66"/>
      <c r="L13" s="58"/>
      <c r="M13" s="58"/>
      <c r="N13" s="65"/>
      <c r="O13" s="58"/>
      <c r="P13" s="58"/>
      <c r="Q13" s="198"/>
      <c r="R13" s="65"/>
      <c r="S13" s="58"/>
      <c r="T13" s="58"/>
      <c r="U13" s="203"/>
      <c r="V13" s="65"/>
      <c r="W13" s="65"/>
      <c r="X13" s="58"/>
      <c r="Y13" s="58"/>
      <c r="Z13" s="58"/>
      <c r="AA13" s="204"/>
      <c r="AB13" s="69"/>
      <c r="AC13" s="69"/>
      <c r="AD13" s="65"/>
      <c r="AE13" s="198"/>
      <c r="AF13" s="58"/>
      <c r="AG13" s="204"/>
      <c r="AH13" s="69"/>
      <c r="AI13" s="69"/>
      <c r="AJ13" s="69"/>
    </row>
    <row r="14" spans="1:36" ht="30" customHeight="1" x14ac:dyDescent="0.3">
      <c r="A14" s="60" t="str">
        <f t="shared" si="0"/>
        <v>Unitil</v>
      </c>
      <c r="B14" s="66" t="s">
        <v>383</v>
      </c>
      <c r="C14" s="66" t="s">
        <v>383</v>
      </c>
      <c r="D14" s="58" t="s">
        <v>391</v>
      </c>
      <c r="E14" s="58" t="s">
        <v>385</v>
      </c>
      <c r="F14" s="58" t="s">
        <v>393</v>
      </c>
      <c r="G14" s="58" t="s">
        <v>385</v>
      </c>
      <c r="H14" s="10" t="s">
        <v>387</v>
      </c>
      <c r="I14" s="58"/>
      <c r="J14" s="58"/>
      <c r="K14" s="66"/>
      <c r="L14" s="58"/>
      <c r="M14" s="58"/>
      <c r="N14" s="65"/>
      <c r="O14" s="58"/>
      <c r="P14" s="58"/>
      <c r="Q14" s="198"/>
      <c r="R14" s="65"/>
      <c r="S14" s="58"/>
      <c r="T14" s="58"/>
      <c r="U14" s="203"/>
      <c r="V14" s="65"/>
      <c r="W14" s="65"/>
      <c r="X14" s="58"/>
      <c r="Y14" s="58"/>
      <c r="Z14" s="58"/>
      <c r="AA14" s="204"/>
      <c r="AB14" s="69"/>
      <c r="AC14" s="69"/>
      <c r="AD14" s="65"/>
      <c r="AE14" s="198"/>
      <c r="AF14" s="58"/>
      <c r="AG14" s="204"/>
      <c r="AH14" s="69"/>
      <c r="AI14" s="69"/>
      <c r="AJ14" s="69"/>
    </row>
    <row r="15" spans="1:36" ht="30" customHeight="1" x14ac:dyDescent="0.3">
      <c r="A15" s="60" t="str">
        <f t="shared" si="0"/>
        <v>Unitil</v>
      </c>
      <c r="B15" s="66" t="s">
        <v>383</v>
      </c>
      <c r="C15" s="66" t="s">
        <v>383</v>
      </c>
      <c r="D15" s="58" t="s">
        <v>391</v>
      </c>
      <c r="E15" s="58" t="s">
        <v>385</v>
      </c>
      <c r="F15" s="58" t="s">
        <v>394</v>
      </c>
      <c r="G15" s="58" t="s">
        <v>385</v>
      </c>
      <c r="H15" s="10" t="s">
        <v>387</v>
      </c>
      <c r="I15" s="58"/>
      <c r="J15" s="58"/>
      <c r="K15" s="66"/>
      <c r="L15" s="58"/>
      <c r="M15" s="58"/>
      <c r="N15" s="65"/>
      <c r="O15" s="58"/>
      <c r="P15" s="58"/>
      <c r="Q15" s="198"/>
      <c r="R15" s="65"/>
      <c r="S15" s="58"/>
      <c r="T15" s="58"/>
      <c r="U15" s="203"/>
      <c r="V15" s="65"/>
      <c r="W15" s="65"/>
      <c r="X15" s="58"/>
      <c r="Y15" s="58"/>
      <c r="Z15" s="58"/>
      <c r="AA15" s="204"/>
      <c r="AB15" s="69"/>
      <c r="AC15" s="69"/>
      <c r="AD15" s="65"/>
      <c r="AE15" s="198"/>
      <c r="AF15" s="58"/>
      <c r="AG15" s="204"/>
      <c r="AH15" s="69"/>
      <c r="AI15" s="69"/>
      <c r="AJ15" s="69"/>
    </row>
    <row r="16" spans="1:36" ht="30" customHeight="1" x14ac:dyDescent="0.3">
      <c r="A16" s="60" t="str">
        <f t="shared" si="0"/>
        <v>Unitil</v>
      </c>
      <c r="B16" s="66" t="s">
        <v>383</v>
      </c>
      <c r="C16" s="66" t="s">
        <v>383</v>
      </c>
      <c r="D16" s="58" t="s">
        <v>391</v>
      </c>
      <c r="E16" s="58" t="s">
        <v>385</v>
      </c>
      <c r="F16" s="496"/>
      <c r="G16" s="496"/>
      <c r="H16" s="497"/>
      <c r="I16" s="58"/>
      <c r="J16" s="58"/>
      <c r="K16" s="66"/>
      <c r="L16" s="58"/>
      <c r="M16" s="58"/>
      <c r="N16" s="65"/>
      <c r="O16" s="58"/>
      <c r="P16" s="58"/>
      <c r="Q16" s="198"/>
      <c r="R16" s="65"/>
      <c r="S16" s="58"/>
      <c r="T16" s="58"/>
      <c r="U16" s="203"/>
      <c r="V16" s="65"/>
      <c r="W16" s="65"/>
      <c r="X16" s="58"/>
      <c r="Y16" s="58"/>
      <c r="Z16" s="58"/>
      <c r="AA16" s="204"/>
      <c r="AB16" s="69"/>
      <c r="AC16" s="69"/>
      <c r="AD16" s="65"/>
      <c r="AE16" s="198"/>
      <c r="AF16" s="58"/>
      <c r="AG16" s="204"/>
      <c r="AH16" s="69"/>
      <c r="AI16" s="69"/>
      <c r="AJ16" s="69"/>
    </row>
    <row r="17" spans="1:36" ht="30" customHeight="1" x14ac:dyDescent="0.3">
      <c r="A17" s="60" t="str">
        <f t="shared" si="0"/>
        <v>Unitil</v>
      </c>
      <c r="B17" s="66" t="s">
        <v>383</v>
      </c>
      <c r="C17" s="66" t="s">
        <v>383</v>
      </c>
      <c r="D17" s="58" t="s">
        <v>395</v>
      </c>
      <c r="E17" s="58" t="s">
        <v>395</v>
      </c>
      <c r="F17" s="58" t="s">
        <v>396</v>
      </c>
      <c r="G17" s="58" t="s">
        <v>395</v>
      </c>
      <c r="H17" s="10" t="s">
        <v>387</v>
      </c>
      <c r="I17" s="58"/>
      <c r="J17" s="58"/>
      <c r="K17" s="66"/>
      <c r="L17" s="58"/>
      <c r="M17" s="58"/>
      <c r="N17" s="65"/>
      <c r="O17" s="58"/>
      <c r="P17" s="58"/>
      <c r="Q17" s="198"/>
      <c r="R17" s="65"/>
      <c r="S17" s="58"/>
      <c r="T17" s="58"/>
      <c r="U17" s="203"/>
      <c r="V17" s="65"/>
      <c r="W17" s="65"/>
      <c r="X17" s="58"/>
      <c r="Y17" s="58"/>
      <c r="Z17" s="58"/>
      <c r="AA17" s="204"/>
      <c r="AB17" s="69"/>
      <c r="AC17" s="69"/>
      <c r="AD17" s="65"/>
      <c r="AE17" s="198"/>
      <c r="AF17" s="58"/>
      <c r="AG17" s="204"/>
      <c r="AH17" s="69"/>
      <c r="AI17" s="69"/>
      <c r="AJ17" s="69"/>
    </row>
    <row r="18" spans="1:36" ht="30" customHeight="1" x14ac:dyDescent="0.3">
      <c r="A18" s="60" t="str">
        <f t="shared" si="0"/>
        <v>Unitil</v>
      </c>
      <c r="B18" s="66" t="s">
        <v>383</v>
      </c>
      <c r="C18" s="66" t="s">
        <v>383</v>
      </c>
      <c r="D18" s="58" t="s">
        <v>395</v>
      </c>
      <c r="E18" s="58" t="s">
        <v>395</v>
      </c>
      <c r="F18" s="58" t="s">
        <v>397</v>
      </c>
      <c r="G18" s="58" t="s">
        <v>395</v>
      </c>
      <c r="H18" s="10" t="s">
        <v>387</v>
      </c>
      <c r="I18" s="58"/>
      <c r="J18" s="58"/>
      <c r="K18" s="66"/>
      <c r="L18" s="58"/>
      <c r="M18" s="58"/>
      <c r="N18" s="65"/>
      <c r="O18" s="58"/>
      <c r="P18" s="58"/>
      <c r="Q18" s="198"/>
      <c r="R18" s="65"/>
      <c r="S18" s="58"/>
      <c r="T18" s="58"/>
      <c r="U18" s="203"/>
      <c r="V18" s="65"/>
      <c r="W18" s="65"/>
      <c r="X18" s="58"/>
      <c r="Y18" s="58"/>
      <c r="Z18" s="58"/>
      <c r="AA18" s="204"/>
      <c r="AB18" s="69"/>
      <c r="AC18" s="69"/>
      <c r="AD18" s="65"/>
      <c r="AE18" s="198"/>
      <c r="AF18" s="58"/>
      <c r="AG18" s="204"/>
      <c r="AH18" s="69"/>
      <c r="AI18" s="69"/>
      <c r="AJ18" s="69"/>
    </row>
    <row r="19" spans="1:36" ht="30" customHeight="1" x14ac:dyDescent="0.3">
      <c r="A19" s="60" t="str">
        <f t="shared" si="0"/>
        <v>Unitil</v>
      </c>
      <c r="B19" s="66" t="s">
        <v>383</v>
      </c>
      <c r="C19" s="66" t="s">
        <v>383</v>
      </c>
      <c r="D19" s="58" t="s">
        <v>395</v>
      </c>
      <c r="E19" s="58" t="s">
        <v>395</v>
      </c>
      <c r="F19" s="58" t="s">
        <v>398</v>
      </c>
      <c r="G19" s="58" t="s">
        <v>399</v>
      </c>
      <c r="H19" s="10" t="s">
        <v>387</v>
      </c>
      <c r="I19" s="58"/>
      <c r="J19" s="58"/>
      <c r="K19" s="66"/>
      <c r="L19" s="58"/>
      <c r="M19" s="58"/>
      <c r="N19" s="65"/>
      <c r="O19" s="58"/>
      <c r="P19" s="58"/>
      <c r="Q19" s="198"/>
      <c r="R19" s="65"/>
      <c r="S19" s="58"/>
      <c r="T19" s="58"/>
      <c r="U19" s="203"/>
      <c r="V19" s="65"/>
      <c r="W19" s="65"/>
      <c r="X19" s="58"/>
      <c r="Y19" s="58"/>
      <c r="Z19" s="58"/>
      <c r="AA19" s="204"/>
      <c r="AB19" s="69"/>
      <c r="AC19" s="69"/>
      <c r="AD19" s="65"/>
      <c r="AE19" s="198"/>
      <c r="AF19" s="58"/>
      <c r="AG19" s="204"/>
      <c r="AH19" s="69"/>
      <c r="AI19" s="69"/>
      <c r="AJ19" s="69"/>
    </row>
    <row r="20" spans="1:36" ht="30" customHeight="1" x14ac:dyDescent="0.3">
      <c r="A20" s="60" t="str">
        <f t="shared" si="0"/>
        <v>Unitil</v>
      </c>
      <c r="B20" s="66" t="s">
        <v>383</v>
      </c>
      <c r="C20" s="66" t="s">
        <v>383</v>
      </c>
      <c r="D20" s="58" t="s">
        <v>395</v>
      </c>
      <c r="E20" s="58" t="s">
        <v>395</v>
      </c>
      <c r="F20" s="58" t="s">
        <v>400</v>
      </c>
      <c r="G20" s="58" t="s">
        <v>395</v>
      </c>
      <c r="H20" s="10" t="s">
        <v>387</v>
      </c>
      <c r="I20" s="58"/>
      <c r="J20" s="58"/>
      <c r="K20" s="66"/>
      <c r="L20" s="58"/>
      <c r="M20" s="58"/>
      <c r="N20" s="65"/>
      <c r="O20" s="58"/>
      <c r="P20" s="58"/>
      <c r="Q20" s="198"/>
      <c r="R20" s="65"/>
      <c r="S20" s="58"/>
      <c r="T20" s="58"/>
      <c r="U20" s="203"/>
      <c r="V20" s="65"/>
      <c r="W20" s="65"/>
      <c r="X20" s="58"/>
      <c r="Y20" s="58"/>
      <c r="Z20" s="58"/>
      <c r="AA20" s="204"/>
      <c r="AB20" s="69"/>
      <c r="AC20" s="69"/>
      <c r="AD20" s="65"/>
      <c r="AE20" s="198"/>
      <c r="AF20" s="58"/>
      <c r="AG20" s="204"/>
      <c r="AH20" s="69"/>
      <c r="AI20" s="69"/>
      <c r="AJ20" s="69"/>
    </row>
    <row r="21" spans="1:36" ht="30" customHeight="1" x14ac:dyDescent="0.3">
      <c r="A21" s="60" t="str">
        <f t="shared" si="0"/>
        <v>Unitil</v>
      </c>
      <c r="B21" s="66" t="s">
        <v>383</v>
      </c>
      <c r="C21" s="66" t="s">
        <v>383</v>
      </c>
      <c r="D21" s="58" t="s">
        <v>395</v>
      </c>
      <c r="E21" s="58" t="s">
        <v>395</v>
      </c>
      <c r="F21" s="496"/>
      <c r="G21" s="496"/>
      <c r="H21" s="497"/>
      <c r="I21" s="58"/>
      <c r="J21" s="58"/>
      <c r="K21" s="66"/>
      <c r="L21" s="58"/>
      <c r="M21" s="58"/>
      <c r="N21" s="65"/>
      <c r="O21" s="58"/>
      <c r="P21" s="58"/>
      <c r="Q21" s="198"/>
      <c r="R21" s="65"/>
      <c r="S21" s="58"/>
      <c r="T21" s="58"/>
      <c r="U21" s="203"/>
      <c r="V21" s="65"/>
      <c r="W21" s="65"/>
      <c r="X21" s="58"/>
      <c r="Y21" s="58"/>
      <c r="Z21" s="58"/>
      <c r="AA21" s="204"/>
      <c r="AB21" s="69"/>
      <c r="AC21" s="69"/>
      <c r="AD21" s="65"/>
      <c r="AE21" s="198"/>
      <c r="AF21" s="58"/>
      <c r="AG21" s="204"/>
      <c r="AH21" s="69"/>
      <c r="AI21" s="69"/>
      <c r="AJ21" s="69"/>
    </row>
    <row r="22" spans="1:36" ht="30" customHeight="1" x14ac:dyDescent="0.3">
      <c r="A22" s="60" t="str">
        <f t="shared" si="0"/>
        <v>Unitil</v>
      </c>
      <c r="B22" s="66" t="s">
        <v>383</v>
      </c>
      <c r="C22" s="66" t="s">
        <v>383</v>
      </c>
      <c r="D22" s="58" t="s">
        <v>401</v>
      </c>
      <c r="E22" s="58" t="s">
        <v>385</v>
      </c>
      <c r="F22" s="58" t="s">
        <v>402</v>
      </c>
      <c r="G22" s="58" t="s">
        <v>385</v>
      </c>
      <c r="H22" s="10" t="s">
        <v>387</v>
      </c>
      <c r="I22" s="58"/>
      <c r="J22" s="58"/>
      <c r="K22" s="66"/>
      <c r="L22" s="58"/>
      <c r="M22" s="58"/>
      <c r="N22" s="65"/>
      <c r="O22" s="58"/>
      <c r="P22" s="58"/>
      <c r="Q22" s="198"/>
      <c r="R22" s="65"/>
      <c r="S22" s="58"/>
      <c r="T22" s="58"/>
      <c r="U22" s="203"/>
      <c r="V22" s="65"/>
      <c r="W22" s="65"/>
      <c r="X22" s="58"/>
      <c r="Y22" s="58"/>
      <c r="Z22" s="58"/>
      <c r="AA22" s="204"/>
      <c r="AB22" s="69"/>
      <c r="AC22" s="69"/>
      <c r="AD22" s="65"/>
      <c r="AE22" s="198"/>
      <c r="AF22" s="58"/>
      <c r="AG22" s="204"/>
      <c r="AH22" s="69"/>
      <c r="AI22" s="69"/>
      <c r="AJ22" s="69"/>
    </row>
    <row r="23" spans="1:36" ht="30" customHeight="1" x14ac:dyDescent="0.3">
      <c r="A23" s="60" t="str">
        <f t="shared" si="0"/>
        <v>Unitil</v>
      </c>
      <c r="B23" s="66" t="s">
        <v>383</v>
      </c>
      <c r="C23" s="66" t="s">
        <v>383</v>
      </c>
      <c r="D23" s="58" t="s">
        <v>401</v>
      </c>
      <c r="E23" s="58" t="s">
        <v>385</v>
      </c>
      <c r="F23" s="496"/>
      <c r="G23" s="496"/>
      <c r="H23" s="497"/>
      <c r="I23" s="58"/>
      <c r="J23" s="58"/>
      <c r="K23" s="66"/>
      <c r="L23" s="58"/>
      <c r="M23" s="58"/>
      <c r="N23" s="65"/>
      <c r="O23" s="58"/>
      <c r="P23" s="58"/>
      <c r="Q23" s="198"/>
      <c r="R23" s="65"/>
      <c r="S23" s="58"/>
      <c r="T23" s="58"/>
      <c r="U23" s="203"/>
      <c r="V23" s="65"/>
      <c r="W23" s="65"/>
      <c r="X23" s="58"/>
      <c r="Y23" s="58"/>
      <c r="Z23" s="58"/>
      <c r="AA23" s="204"/>
      <c r="AB23" s="69"/>
      <c r="AC23" s="69"/>
      <c r="AD23" s="65"/>
      <c r="AE23" s="198"/>
      <c r="AF23" s="58"/>
      <c r="AG23" s="204"/>
      <c r="AH23" s="69"/>
      <c r="AI23" s="69"/>
      <c r="AJ23" s="69"/>
    </row>
    <row r="24" spans="1:36" ht="30" customHeight="1" x14ac:dyDescent="0.3">
      <c r="A24" s="60" t="str">
        <f t="shared" si="0"/>
        <v>Unitil</v>
      </c>
      <c r="B24" s="66" t="s">
        <v>383</v>
      </c>
      <c r="C24" s="66" t="s">
        <v>383</v>
      </c>
      <c r="D24" s="58" t="s">
        <v>403</v>
      </c>
      <c r="E24" s="58" t="s">
        <v>385</v>
      </c>
      <c r="F24" s="58">
        <v>1341</v>
      </c>
      <c r="G24" s="58" t="s">
        <v>385</v>
      </c>
      <c r="H24" s="10" t="s">
        <v>387</v>
      </c>
      <c r="I24" s="58"/>
      <c r="J24" s="58"/>
      <c r="K24" s="66"/>
      <c r="L24" s="58"/>
      <c r="M24" s="58"/>
      <c r="N24" s="65"/>
      <c r="O24" s="58"/>
      <c r="P24" s="58"/>
      <c r="Q24" s="198"/>
      <c r="R24" s="65"/>
      <c r="S24" s="58"/>
      <c r="T24" s="58"/>
      <c r="U24" s="203"/>
      <c r="V24" s="65"/>
      <c r="W24" s="65"/>
      <c r="X24" s="58"/>
      <c r="Y24" s="58"/>
      <c r="Z24" s="58"/>
      <c r="AA24" s="204"/>
      <c r="AB24" s="69"/>
      <c r="AC24" s="69"/>
      <c r="AD24" s="65"/>
      <c r="AE24" s="198"/>
      <c r="AF24" s="58"/>
      <c r="AG24" s="204"/>
      <c r="AH24" s="69"/>
      <c r="AI24" s="69"/>
      <c r="AJ24" s="69"/>
    </row>
    <row r="25" spans="1:36" ht="30" customHeight="1" x14ac:dyDescent="0.3">
      <c r="A25" s="60" t="str">
        <f t="shared" si="0"/>
        <v>Unitil</v>
      </c>
      <c r="B25" s="66" t="s">
        <v>383</v>
      </c>
      <c r="C25" s="66" t="s">
        <v>383</v>
      </c>
      <c r="D25" s="58" t="s">
        <v>403</v>
      </c>
      <c r="E25" s="58" t="s">
        <v>385</v>
      </c>
      <c r="F25" s="496"/>
      <c r="G25" s="496"/>
      <c r="H25" s="497"/>
      <c r="I25" s="58"/>
      <c r="J25" s="58"/>
      <c r="K25" s="66"/>
      <c r="L25" s="58"/>
      <c r="M25" s="58"/>
      <c r="N25" s="65"/>
      <c r="O25" s="58"/>
      <c r="P25" s="58"/>
      <c r="Q25" s="198"/>
      <c r="R25" s="65"/>
      <c r="S25" s="58"/>
      <c r="T25" s="58"/>
      <c r="U25" s="203"/>
      <c r="V25" s="65"/>
      <c r="W25" s="65"/>
      <c r="X25" s="58"/>
      <c r="Y25" s="58"/>
      <c r="Z25" s="58"/>
      <c r="AA25" s="204"/>
      <c r="AB25" s="69"/>
      <c r="AC25" s="69"/>
      <c r="AD25" s="65"/>
      <c r="AE25" s="198"/>
      <c r="AF25" s="58"/>
      <c r="AG25" s="204"/>
      <c r="AH25" s="69"/>
      <c r="AI25" s="69"/>
      <c r="AJ25" s="69"/>
    </row>
    <row r="26" spans="1:36" ht="30" customHeight="1" x14ac:dyDescent="0.3">
      <c r="A26" s="60" t="str">
        <f t="shared" si="0"/>
        <v>Unitil</v>
      </c>
      <c r="B26" s="66" t="s">
        <v>383</v>
      </c>
      <c r="C26" s="66" t="s">
        <v>383</v>
      </c>
      <c r="D26" s="58" t="s">
        <v>404</v>
      </c>
      <c r="E26" s="58" t="s">
        <v>385</v>
      </c>
      <c r="F26" s="58" t="s">
        <v>405</v>
      </c>
      <c r="G26" s="58" t="s">
        <v>385</v>
      </c>
      <c r="H26" s="10" t="s">
        <v>387</v>
      </c>
      <c r="I26" s="58"/>
      <c r="J26" s="58"/>
      <c r="K26" s="66"/>
      <c r="L26" s="58"/>
      <c r="M26" s="58"/>
      <c r="N26" s="65"/>
      <c r="O26" s="58"/>
      <c r="P26" s="58"/>
      <c r="Q26" s="198"/>
      <c r="R26" s="65"/>
      <c r="S26" s="58"/>
      <c r="T26" s="58"/>
      <c r="U26" s="203"/>
      <c r="V26" s="65"/>
      <c r="W26" s="65"/>
      <c r="X26" s="58"/>
      <c r="Y26" s="58"/>
      <c r="Z26" s="58"/>
      <c r="AA26" s="204"/>
      <c r="AB26" s="69"/>
      <c r="AC26" s="69"/>
      <c r="AD26" s="65"/>
      <c r="AE26" s="198"/>
      <c r="AF26" s="58"/>
      <c r="AG26" s="204"/>
      <c r="AH26" s="69"/>
      <c r="AI26" s="69"/>
      <c r="AJ26" s="69"/>
    </row>
    <row r="27" spans="1:36" ht="30" customHeight="1" x14ac:dyDescent="0.3">
      <c r="A27" s="60" t="str">
        <f t="shared" si="0"/>
        <v>Unitil</v>
      </c>
      <c r="B27" s="66" t="s">
        <v>383</v>
      </c>
      <c r="C27" s="66" t="s">
        <v>383</v>
      </c>
      <c r="D27" s="58" t="s">
        <v>404</v>
      </c>
      <c r="E27" s="58" t="s">
        <v>385</v>
      </c>
      <c r="F27" s="58" t="s">
        <v>406</v>
      </c>
      <c r="G27" s="58" t="s">
        <v>385</v>
      </c>
      <c r="H27" s="10" t="s">
        <v>387</v>
      </c>
      <c r="I27" s="58"/>
      <c r="J27" s="58"/>
      <c r="K27" s="66"/>
      <c r="L27" s="58"/>
      <c r="M27" s="58"/>
      <c r="N27" s="65"/>
      <c r="O27" s="58"/>
      <c r="P27" s="58"/>
      <c r="Q27" s="198"/>
      <c r="R27" s="65"/>
      <c r="S27" s="58"/>
      <c r="T27" s="58"/>
      <c r="U27" s="203"/>
      <c r="V27" s="65"/>
      <c r="W27" s="65"/>
      <c r="X27" s="58"/>
      <c r="Y27" s="58"/>
      <c r="Z27" s="58"/>
      <c r="AA27" s="204"/>
      <c r="AB27" s="69"/>
      <c r="AC27" s="69"/>
      <c r="AD27" s="65"/>
      <c r="AE27" s="198"/>
      <c r="AF27" s="58"/>
      <c r="AG27" s="204"/>
      <c r="AH27" s="69"/>
      <c r="AI27" s="69"/>
      <c r="AJ27" s="69"/>
    </row>
    <row r="28" spans="1:36" ht="30" customHeight="1" x14ac:dyDescent="0.3">
      <c r="A28" s="60" t="str">
        <f t="shared" si="0"/>
        <v>Unitil</v>
      </c>
      <c r="B28" s="66" t="s">
        <v>383</v>
      </c>
      <c r="C28" s="66" t="s">
        <v>383</v>
      </c>
      <c r="D28" s="58" t="s">
        <v>404</v>
      </c>
      <c r="E28" s="58" t="s">
        <v>385</v>
      </c>
      <c r="F28" s="58" t="s">
        <v>407</v>
      </c>
      <c r="G28" s="58" t="s">
        <v>385</v>
      </c>
      <c r="H28" s="10" t="s">
        <v>387</v>
      </c>
      <c r="I28" s="58"/>
      <c r="J28" s="58"/>
      <c r="K28" s="66"/>
      <c r="L28" s="58"/>
      <c r="M28" s="58"/>
      <c r="N28" s="65"/>
      <c r="O28" s="58"/>
      <c r="P28" s="58"/>
      <c r="Q28" s="198"/>
      <c r="R28" s="65"/>
      <c r="S28" s="58"/>
      <c r="T28" s="58"/>
      <c r="U28" s="203"/>
      <c r="V28" s="65"/>
      <c r="W28" s="65"/>
      <c r="X28" s="58"/>
      <c r="Y28" s="58"/>
      <c r="Z28" s="58"/>
      <c r="AA28" s="204"/>
      <c r="AB28" s="69"/>
      <c r="AC28" s="69"/>
      <c r="AD28" s="65"/>
      <c r="AE28" s="198"/>
      <c r="AF28" s="58"/>
      <c r="AG28" s="204"/>
      <c r="AH28" s="69"/>
      <c r="AI28" s="69"/>
      <c r="AJ28" s="69"/>
    </row>
    <row r="29" spans="1:36" ht="30" customHeight="1" x14ac:dyDescent="0.3">
      <c r="A29" s="60" t="str">
        <f t="shared" si="0"/>
        <v>Unitil</v>
      </c>
      <c r="B29" s="66" t="s">
        <v>383</v>
      </c>
      <c r="C29" s="66" t="s">
        <v>383</v>
      </c>
      <c r="D29" s="58" t="s">
        <v>404</v>
      </c>
      <c r="E29" s="58" t="s">
        <v>385</v>
      </c>
      <c r="F29" s="58" t="s">
        <v>408</v>
      </c>
      <c r="G29" s="58" t="s">
        <v>385</v>
      </c>
      <c r="H29" s="10" t="s">
        <v>387</v>
      </c>
      <c r="I29" s="58"/>
      <c r="J29" s="58"/>
      <c r="K29" s="66"/>
      <c r="L29" s="58"/>
      <c r="M29" s="58"/>
      <c r="N29" s="65"/>
      <c r="O29" s="58"/>
      <c r="P29" s="58"/>
      <c r="Q29" s="198"/>
      <c r="R29" s="65"/>
      <c r="S29" s="58"/>
      <c r="T29" s="58"/>
      <c r="U29" s="203"/>
      <c r="V29" s="65"/>
      <c r="W29" s="65"/>
      <c r="X29" s="58"/>
      <c r="Y29" s="58"/>
      <c r="Z29" s="58"/>
      <c r="AA29" s="204"/>
      <c r="AB29" s="69"/>
      <c r="AC29" s="69"/>
      <c r="AD29" s="65"/>
      <c r="AE29" s="198"/>
      <c r="AF29" s="58"/>
      <c r="AG29" s="204"/>
      <c r="AH29" s="69"/>
      <c r="AI29" s="69"/>
      <c r="AJ29" s="69"/>
    </row>
    <row r="30" spans="1:36" ht="30" customHeight="1" x14ac:dyDescent="0.3">
      <c r="A30" s="60" t="str">
        <f t="shared" si="0"/>
        <v>Unitil</v>
      </c>
      <c r="B30" s="66" t="s">
        <v>383</v>
      </c>
      <c r="C30" s="66" t="s">
        <v>383</v>
      </c>
      <c r="D30" s="58" t="s">
        <v>404</v>
      </c>
      <c r="E30" s="58" t="s">
        <v>385</v>
      </c>
      <c r="F30" s="58" t="s">
        <v>409</v>
      </c>
      <c r="G30" s="58" t="s">
        <v>385</v>
      </c>
      <c r="H30" s="10" t="s">
        <v>387</v>
      </c>
      <c r="I30" s="58"/>
      <c r="J30" s="58"/>
      <c r="K30" s="66"/>
      <c r="L30" s="58"/>
      <c r="M30" s="58"/>
      <c r="N30" s="65"/>
      <c r="O30" s="58"/>
      <c r="P30" s="58"/>
      <c r="Q30" s="198"/>
      <c r="R30" s="65"/>
      <c r="S30" s="58"/>
      <c r="T30" s="58"/>
      <c r="U30" s="203"/>
      <c r="V30" s="65"/>
      <c r="W30" s="65"/>
      <c r="X30" s="58"/>
      <c r="Y30" s="58"/>
      <c r="Z30" s="58"/>
      <c r="AA30" s="204"/>
      <c r="AB30" s="69"/>
      <c r="AC30" s="69"/>
      <c r="AD30" s="65"/>
      <c r="AE30" s="198"/>
      <c r="AF30" s="58"/>
      <c r="AG30" s="204"/>
      <c r="AH30" s="69"/>
      <c r="AI30" s="69"/>
      <c r="AJ30" s="69"/>
    </row>
    <row r="31" spans="1:36" ht="30" customHeight="1" x14ac:dyDescent="0.3">
      <c r="A31" s="60" t="str">
        <f t="shared" si="0"/>
        <v>Unitil</v>
      </c>
      <c r="B31" s="66" t="s">
        <v>383</v>
      </c>
      <c r="C31" s="66" t="s">
        <v>383</v>
      </c>
      <c r="D31" s="58" t="s">
        <v>404</v>
      </c>
      <c r="E31" s="58" t="s">
        <v>385</v>
      </c>
      <c r="F31" s="58" t="s">
        <v>410</v>
      </c>
      <c r="G31" s="58" t="s">
        <v>385</v>
      </c>
      <c r="H31" s="10" t="s">
        <v>387</v>
      </c>
      <c r="I31" s="58"/>
      <c r="J31" s="58"/>
      <c r="K31" s="66"/>
      <c r="L31" s="58"/>
      <c r="M31" s="58"/>
      <c r="N31" s="65"/>
      <c r="O31" s="58"/>
      <c r="P31" s="58"/>
      <c r="Q31" s="198"/>
      <c r="R31" s="65"/>
      <c r="S31" s="58"/>
      <c r="T31" s="58"/>
      <c r="U31" s="203"/>
      <c r="V31" s="65"/>
      <c r="W31" s="65"/>
      <c r="X31" s="58"/>
      <c r="Y31" s="58"/>
      <c r="Z31" s="58"/>
      <c r="AA31" s="204"/>
      <c r="AB31" s="69"/>
      <c r="AC31" s="69"/>
      <c r="AD31" s="65"/>
      <c r="AE31" s="198"/>
      <c r="AF31" s="58"/>
      <c r="AG31" s="204"/>
      <c r="AH31" s="69"/>
      <c r="AI31" s="69"/>
      <c r="AJ31" s="69"/>
    </row>
    <row r="32" spans="1:36" ht="30" customHeight="1" x14ac:dyDescent="0.3">
      <c r="A32" s="60" t="str">
        <f t="shared" si="0"/>
        <v>Unitil</v>
      </c>
      <c r="B32" s="66" t="s">
        <v>383</v>
      </c>
      <c r="C32" s="66" t="s">
        <v>383</v>
      </c>
      <c r="D32" s="58" t="s">
        <v>404</v>
      </c>
      <c r="E32" s="58" t="s">
        <v>385</v>
      </c>
      <c r="F32" s="58" t="s">
        <v>411</v>
      </c>
      <c r="G32" s="58" t="s">
        <v>385</v>
      </c>
      <c r="H32" s="10" t="s">
        <v>387</v>
      </c>
      <c r="I32" s="58"/>
      <c r="J32" s="58"/>
      <c r="K32" s="66"/>
      <c r="L32" s="58"/>
      <c r="M32" s="58"/>
      <c r="N32" s="65"/>
      <c r="O32" s="58"/>
      <c r="P32" s="58"/>
      <c r="Q32" s="198"/>
      <c r="R32" s="65"/>
      <c r="S32" s="58"/>
      <c r="T32" s="58"/>
      <c r="U32" s="203"/>
      <c r="V32" s="65"/>
      <c r="W32" s="65"/>
      <c r="X32" s="58"/>
      <c r="Y32" s="58"/>
      <c r="Z32" s="58"/>
      <c r="AA32" s="204"/>
      <c r="AB32" s="69"/>
      <c r="AC32" s="69"/>
      <c r="AD32" s="65"/>
      <c r="AE32" s="198"/>
      <c r="AF32" s="58"/>
      <c r="AG32" s="204"/>
      <c r="AH32" s="69"/>
      <c r="AI32" s="69"/>
      <c r="AJ32" s="69"/>
    </row>
    <row r="33" spans="1:36" ht="30" customHeight="1" x14ac:dyDescent="0.3">
      <c r="A33" s="60" t="str">
        <f t="shared" si="0"/>
        <v>Unitil</v>
      </c>
      <c r="B33" s="66" t="s">
        <v>383</v>
      </c>
      <c r="C33" s="66" t="s">
        <v>383</v>
      </c>
      <c r="D33" s="58" t="s">
        <v>404</v>
      </c>
      <c r="E33" s="58" t="s">
        <v>385</v>
      </c>
      <c r="F33" s="58" t="s">
        <v>412</v>
      </c>
      <c r="G33" s="58" t="s">
        <v>385</v>
      </c>
      <c r="H33" s="10" t="s">
        <v>387</v>
      </c>
      <c r="I33" s="58"/>
      <c r="J33" s="58"/>
      <c r="K33" s="66"/>
      <c r="L33" s="58"/>
      <c r="M33" s="58"/>
      <c r="N33" s="65"/>
      <c r="O33" s="58"/>
      <c r="P33" s="58"/>
      <c r="Q33" s="198"/>
      <c r="R33" s="65"/>
      <c r="S33" s="58"/>
      <c r="T33" s="58"/>
      <c r="U33" s="203"/>
      <c r="V33" s="65"/>
      <c r="W33" s="65"/>
      <c r="X33" s="58"/>
      <c r="Y33" s="58"/>
      <c r="Z33" s="58"/>
      <c r="AA33" s="204"/>
      <c r="AB33" s="69"/>
      <c r="AC33" s="69"/>
      <c r="AD33" s="65"/>
      <c r="AE33" s="198"/>
      <c r="AF33" s="58"/>
      <c r="AG33" s="204"/>
      <c r="AH33" s="69"/>
      <c r="AI33" s="69"/>
      <c r="AJ33" s="69"/>
    </row>
    <row r="34" spans="1:36" ht="30" customHeight="1" x14ac:dyDescent="0.3">
      <c r="A34" s="60" t="str">
        <f t="shared" si="0"/>
        <v>Unitil</v>
      </c>
      <c r="B34" s="66" t="s">
        <v>383</v>
      </c>
      <c r="C34" s="66" t="s">
        <v>383</v>
      </c>
      <c r="D34" s="58" t="s">
        <v>404</v>
      </c>
      <c r="E34" s="58" t="s">
        <v>385</v>
      </c>
      <c r="F34" s="58" t="s">
        <v>413</v>
      </c>
      <c r="G34" s="58" t="s">
        <v>385</v>
      </c>
      <c r="H34" s="10" t="s">
        <v>387</v>
      </c>
      <c r="I34" s="58"/>
      <c r="J34" s="58"/>
      <c r="K34" s="66"/>
      <c r="L34" s="58"/>
      <c r="M34" s="58"/>
      <c r="N34" s="65"/>
      <c r="O34" s="58"/>
      <c r="P34" s="58"/>
      <c r="Q34" s="198"/>
      <c r="R34" s="65"/>
      <c r="S34" s="58"/>
      <c r="T34" s="58"/>
      <c r="U34" s="203"/>
      <c r="V34" s="65"/>
      <c r="W34" s="65"/>
      <c r="X34" s="58"/>
      <c r="Y34" s="58"/>
      <c r="Z34" s="58"/>
      <c r="AA34" s="204"/>
      <c r="AB34" s="69"/>
      <c r="AC34" s="69"/>
      <c r="AD34" s="65"/>
      <c r="AE34" s="198"/>
      <c r="AF34" s="58"/>
      <c r="AG34" s="204"/>
      <c r="AH34" s="69"/>
      <c r="AI34" s="69"/>
      <c r="AJ34" s="69"/>
    </row>
    <row r="35" spans="1:36" ht="30" customHeight="1" x14ac:dyDescent="0.3">
      <c r="A35" s="60" t="str">
        <f t="shared" si="0"/>
        <v>Unitil</v>
      </c>
      <c r="B35" s="66" t="s">
        <v>383</v>
      </c>
      <c r="C35" s="66" t="s">
        <v>383</v>
      </c>
      <c r="D35" s="58" t="s">
        <v>404</v>
      </c>
      <c r="E35" s="58" t="s">
        <v>385</v>
      </c>
      <c r="F35" s="496"/>
      <c r="G35" s="496"/>
      <c r="H35" s="497"/>
      <c r="I35" s="58"/>
      <c r="J35" s="58"/>
      <c r="K35" s="66"/>
      <c r="L35" s="58"/>
      <c r="M35" s="58"/>
      <c r="N35" s="65"/>
      <c r="O35" s="58"/>
      <c r="P35" s="58"/>
      <c r="Q35" s="198"/>
      <c r="R35" s="65"/>
      <c r="S35" s="58"/>
      <c r="T35" s="58"/>
      <c r="U35" s="203"/>
      <c r="V35" s="65"/>
      <c r="W35" s="65"/>
      <c r="X35" s="58"/>
      <c r="Y35" s="58"/>
      <c r="Z35" s="58"/>
      <c r="AA35" s="204"/>
      <c r="AB35" s="69"/>
      <c r="AC35" s="69"/>
      <c r="AD35" s="65"/>
      <c r="AE35" s="198"/>
      <c r="AF35" s="58"/>
      <c r="AG35" s="204"/>
      <c r="AH35" s="69"/>
      <c r="AI35" s="69"/>
      <c r="AJ35" s="69"/>
    </row>
    <row r="36" spans="1:36" ht="30" customHeight="1" x14ac:dyDescent="0.3">
      <c r="A36" s="60" t="str">
        <f t="shared" si="0"/>
        <v>Unitil</v>
      </c>
      <c r="B36" s="66" t="s">
        <v>383</v>
      </c>
      <c r="C36" s="66" t="s">
        <v>383</v>
      </c>
      <c r="D36" s="58" t="s">
        <v>414</v>
      </c>
      <c r="E36" s="58" t="s">
        <v>385</v>
      </c>
      <c r="F36" s="58" t="s">
        <v>415</v>
      </c>
      <c r="G36" s="58" t="s">
        <v>385</v>
      </c>
      <c r="H36" s="10" t="s">
        <v>387</v>
      </c>
      <c r="I36" s="58"/>
      <c r="J36" s="58"/>
      <c r="K36" s="66"/>
      <c r="L36" s="58"/>
      <c r="M36" s="58"/>
      <c r="N36" s="65"/>
      <c r="O36" s="58"/>
      <c r="P36" s="58"/>
      <c r="Q36" s="198"/>
      <c r="R36" s="65"/>
      <c r="S36" s="58"/>
      <c r="T36" s="58"/>
      <c r="U36" s="203"/>
      <c r="V36" s="65"/>
      <c r="W36" s="65"/>
      <c r="X36" s="58"/>
      <c r="Y36" s="58"/>
      <c r="Z36" s="58"/>
      <c r="AA36" s="204"/>
      <c r="AB36" s="69"/>
      <c r="AC36" s="69"/>
      <c r="AD36" s="65"/>
      <c r="AE36" s="198"/>
      <c r="AF36" s="58"/>
      <c r="AG36" s="204"/>
      <c r="AH36" s="69"/>
      <c r="AI36" s="69"/>
      <c r="AJ36" s="69"/>
    </row>
    <row r="37" spans="1:36" ht="30" customHeight="1" x14ac:dyDescent="0.3">
      <c r="A37" s="60" t="str">
        <f t="shared" si="0"/>
        <v>Unitil</v>
      </c>
      <c r="B37" s="66" t="s">
        <v>383</v>
      </c>
      <c r="C37" s="66" t="s">
        <v>383</v>
      </c>
      <c r="D37" s="58" t="s">
        <v>414</v>
      </c>
      <c r="E37" s="58" t="s">
        <v>385</v>
      </c>
      <c r="F37" s="58" t="s">
        <v>416</v>
      </c>
      <c r="G37" s="58" t="s">
        <v>385</v>
      </c>
      <c r="H37" s="10" t="s">
        <v>387</v>
      </c>
      <c r="I37" s="58"/>
      <c r="J37" s="58"/>
      <c r="K37" s="66"/>
      <c r="L37" s="58"/>
      <c r="M37" s="58"/>
      <c r="N37" s="65"/>
      <c r="O37" s="58"/>
      <c r="P37" s="58"/>
      <c r="Q37" s="198"/>
      <c r="R37" s="65"/>
      <c r="S37" s="58"/>
      <c r="T37" s="58"/>
      <c r="U37" s="203"/>
      <c r="V37" s="65"/>
      <c r="W37" s="65"/>
      <c r="X37" s="58"/>
      <c r="Y37" s="58"/>
      <c r="Z37" s="58"/>
      <c r="AA37" s="204"/>
      <c r="AB37" s="69"/>
      <c r="AC37" s="69"/>
      <c r="AD37" s="65"/>
      <c r="AE37" s="198"/>
      <c r="AF37" s="58"/>
      <c r="AG37" s="204"/>
      <c r="AH37" s="69"/>
      <c r="AI37" s="69"/>
      <c r="AJ37" s="69"/>
    </row>
    <row r="38" spans="1:36" ht="30" customHeight="1" x14ac:dyDescent="0.3">
      <c r="A38" s="60" t="str">
        <f t="shared" si="0"/>
        <v>Unitil</v>
      </c>
      <c r="B38" s="66" t="s">
        <v>383</v>
      </c>
      <c r="C38" s="66" t="s">
        <v>383</v>
      </c>
      <c r="D38" s="58" t="s">
        <v>414</v>
      </c>
      <c r="E38" s="58" t="s">
        <v>385</v>
      </c>
      <c r="F38" s="58" t="s">
        <v>417</v>
      </c>
      <c r="G38" s="58" t="s">
        <v>385</v>
      </c>
      <c r="H38" s="10" t="s">
        <v>387</v>
      </c>
      <c r="I38" s="58"/>
      <c r="J38" s="58"/>
      <c r="K38" s="66"/>
      <c r="L38" s="58"/>
      <c r="M38" s="58"/>
      <c r="N38" s="65"/>
      <c r="O38" s="58"/>
      <c r="P38" s="58"/>
      <c r="Q38" s="198"/>
      <c r="R38" s="65"/>
      <c r="S38" s="58"/>
      <c r="T38" s="58"/>
      <c r="U38" s="203"/>
      <c r="V38" s="65"/>
      <c r="W38" s="65"/>
      <c r="X38" s="58"/>
      <c r="Y38" s="58"/>
      <c r="Z38" s="58"/>
      <c r="AA38" s="204"/>
      <c r="AB38" s="69"/>
      <c r="AC38" s="69"/>
      <c r="AD38" s="65"/>
      <c r="AE38" s="198"/>
      <c r="AF38" s="58"/>
      <c r="AG38" s="204"/>
      <c r="AH38" s="69"/>
      <c r="AI38" s="69"/>
      <c r="AJ38" s="69"/>
    </row>
    <row r="39" spans="1:36" ht="30" customHeight="1" x14ac:dyDescent="0.3">
      <c r="A39" s="60" t="str">
        <f t="shared" si="0"/>
        <v>Unitil</v>
      </c>
      <c r="B39" s="66" t="s">
        <v>383</v>
      </c>
      <c r="C39" s="66" t="s">
        <v>383</v>
      </c>
      <c r="D39" s="58" t="s">
        <v>414</v>
      </c>
      <c r="E39" s="58" t="s">
        <v>385</v>
      </c>
      <c r="F39" s="496"/>
      <c r="G39" s="496"/>
      <c r="H39" s="497"/>
      <c r="I39" s="58"/>
      <c r="J39" s="58"/>
      <c r="K39" s="66"/>
      <c r="L39" s="58"/>
      <c r="M39" s="58"/>
      <c r="N39" s="65"/>
      <c r="O39" s="58"/>
      <c r="P39" s="58"/>
      <c r="Q39" s="198"/>
      <c r="R39" s="65"/>
      <c r="S39" s="58"/>
      <c r="T39" s="58"/>
      <c r="U39" s="203"/>
      <c r="V39" s="65"/>
      <c r="W39" s="65"/>
      <c r="X39" s="58"/>
      <c r="Y39" s="58"/>
      <c r="Z39" s="58"/>
      <c r="AA39" s="204"/>
      <c r="AB39" s="69"/>
      <c r="AC39" s="69"/>
      <c r="AD39" s="65"/>
      <c r="AE39" s="198"/>
      <c r="AF39" s="58"/>
      <c r="AG39" s="204"/>
      <c r="AH39" s="69"/>
      <c r="AI39" s="69"/>
      <c r="AJ39" s="69"/>
    </row>
    <row r="40" spans="1:36" ht="30" customHeight="1" x14ac:dyDescent="0.3">
      <c r="A40" s="60" t="str">
        <f t="shared" si="0"/>
        <v>Unitil</v>
      </c>
      <c r="B40" s="66" t="s">
        <v>383</v>
      </c>
      <c r="C40" s="66" t="s">
        <v>383</v>
      </c>
      <c r="D40" s="58" t="s">
        <v>418</v>
      </c>
      <c r="E40" s="58" t="s">
        <v>418</v>
      </c>
      <c r="F40" s="58" t="s">
        <v>419</v>
      </c>
      <c r="G40" s="58" t="s">
        <v>418</v>
      </c>
      <c r="H40" s="10" t="s">
        <v>387</v>
      </c>
      <c r="I40" s="58"/>
      <c r="J40" s="58"/>
      <c r="K40" s="66"/>
      <c r="L40" s="58"/>
      <c r="M40" s="58"/>
      <c r="N40" s="65"/>
      <c r="O40" s="58"/>
      <c r="P40" s="58"/>
      <c r="Q40" s="198"/>
      <c r="R40" s="65"/>
      <c r="S40" s="58"/>
      <c r="T40" s="58"/>
      <c r="U40" s="203"/>
      <c r="V40" s="65"/>
      <c r="W40" s="65"/>
      <c r="X40" s="58"/>
      <c r="Y40" s="58"/>
      <c r="Z40" s="58"/>
      <c r="AA40" s="204"/>
      <c r="AB40" s="69"/>
      <c r="AC40" s="69"/>
      <c r="AD40" s="65"/>
      <c r="AE40" s="198"/>
      <c r="AF40" s="58"/>
      <c r="AG40" s="204"/>
      <c r="AH40" s="69"/>
      <c r="AI40" s="69"/>
      <c r="AJ40" s="69"/>
    </row>
    <row r="41" spans="1:36" ht="30" customHeight="1" x14ac:dyDescent="0.3">
      <c r="A41" s="60" t="str">
        <f t="shared" si="0"/>
        <v>Unitil</v>
      </c>
      <c r="B41" s="66" t="s">
        <v>383</v>
      </c>
      <c r="C41" s="66" t="s">
        <v>383</v>
      </c>
      <c r="D41" s="58" t="s">
        <v>418</v>
      </c>
      <c r="E41" s="58" t="s">
        <v>418</v>
      </c>
      <c r="F41" s="58" t="s">
        <v>420</v>
      </c>
      <c r="G41" s="58" t="s">
        <v>421</v>
      </c>
      <c r="H41" s="10" t="s">
        <v>387</v>
      </c>
      <c r="I41" s="58"/>
      <c r="J41" s="58"/>
      <c r="K41" s="66"/>
      <c r="L41" s="58"/>
      <c r="M41" s="58"/>
      <c r="N41" s="65"/>
      <c r="O41" s="58"/>
      <c r="P41" s="58"/>
      <c r="Q41" s="198"/>
      <c r="R41" s="65"/>
      <c r="S41" s="58"/>
      <c r="T41" s="58"/>
      <c r="U41" s="203"/>
      <c r="V41" s="65"/>
      <c r="W41" s="65"/>
      <c r="X41" s="58"/>
      <c r="Y41" s="58"/>
      <c r="Z41" s="58"/>
      <c r="AA41" s="204"/>
      <c r="AB41" s="69"/>
      <c r="AC41" s="69"/>
      <c r="AD41" s="65"/>
      <c r="AE41" s="198"/>
      <c r="AF41" s="58"/>
      <c r="AG41" s="204"/>
      <c r="AH41" s="69"/>
      <c r="AI41" s="69"/>
      <c r="AJ41" s="69"/>
    </row>
    <row r="42" spans="1:36" ht="30" customHeight="1" x14ac:dyDescent="0.3">
      <c r="A42" s="60" t="str">
        <f t="shared" si="0"/>
        <v>Unitil</v>
      </c>
      <c r="B42" s="66" t="s">
        <v>383</v>
      </c>
      <c r="C42" s="66" t="s">
        <v>383</v>
      </c>
      <c r="D42" s="58" t="s">
        <v>418</v>
      </c>
      <c r="E42" s="58" t="s">
        <v>418</v>
      </c>
      <c r="F42" s="496"/>
      <c r="G42" s="496"/>
      <c r="H42" s="497"/>
      <c r="I42" s="58"/>
      <c r="J42" s="58"/>
      <c r="K42" s="66"/>
      <c r="L42" s="58"/>
      <c r="M42" s="58"/>
      <c r="N42" s="65"/>
      <c r="O42" s="58"/>
      <c r="P42" s="58"/>
      <c r="Q42" s="198"/>
      <c r="R42" s="65"/>
      <c r="S42" s="58"/>
      <c r="T42" s="58"/>
      <c r="U42" s="203"/>
      <c r="V42" s="65"/>
      <c r="W42" s="65"/>
      <c r="X42" s="58"/>
      <c r="Y42" s="58"/>
      <c r="Z42" s="58"/>
      <c r="AA42" s="204"/>
      <c r="AB42" s="69"/>
      <c r="AC42" s="69"/>
      <c r="AD42" s="65"/>
      <c r="AE42" s="198"/>
      <c r="AF42" s="58"/>
      <c r="AG42" s="204"/>
      <c r="AH42" s="69"/>
      <c r="AI42" s="69"/>
      <c r="AJ42" s="69"/>
    </row>
    <row r="43" spans="1:36" ht="30" customHeight="1" x14ac:dyDescent="0.3">
      <c r="A43" s="60" t="str">
        <f t="shared" si="0"/>
        <v>Unitil</v>
      </c>
      <c r="B43" s="66" t="s">
        <v>383</v>
      </c>
      <c r="C43" s="66" t="s">
        <v>383</v>
      </c>
      <c r="D43" s="58" t="s">
        <v>422</v>
      </c>
      <c r="E43" s="58" t="s">
        <v>418</v>
      </c>
      <c r="F43" s="58" t="s">
        <v>423</v>
      </c>
      <c r="G43" s="58" t="s">
        <v>424</v>
      </c>
      <c r="H43" s="10" t="s">
        <v>387</v>
      </c>
      <c r="I43" s="58"/>
      <c r="J43" s="58"/>
      <c r="K43" s="66"/>
      <c r="L43" s="58"/>
      <c r="M43" s="58"/>
      <c r="N43" s="65"/>
      <c r="O43" s="58"/>
      <c r="P43" s="58"/>
      <c r="Q43" s="198"/>
      <c r="R43" s="65"/>
      <c r="S43" s="58"/>
      <c r="T43" s="58"/>
      <c r="U43" s="203"/>
      <c r="V43" s="65"/>
      <c r="W43" s="65"/>
      <c r="X43" s="58"/>
      <c r="Y43" s="58"/>
      <c r="Z43" s="58"/>
      <c r="AA43" s="204"/>
      <c r="AB43" s="69"/>
      <c r="AC43" s="69"/>
      <c r="AD43" s="65"/>
      <c r="AE43" s="198"/>
      <c r="AF43" s="58"/>
      <c r="AG43" s="204"/>
      <c r="AH43" s="69"/>
      <c r="AI43" s="69"/>
      <c r="AJ43" s="69"/>
    </row>
    <row r="44" spans="1:36" ht="30" customHeight="1" x14ac:dyDescent="0.3">
      <c r="A44" s="60" t="str">
        <f t="shared" si="0"/>
        <v>Unitil</v>
      </c>
      <c r="B44" s="66" t="s">
        <v>383</v>
      </c>
      <c r="C44" s="66" t="s">
        <v>383</v>
      </c>
      <c r="D44" s="58" t="s">
        <v>422</v>
      </c>
      <c r="E44" s="58" t="s">
        <v>418</v>
      </c>
      <c r="F44" s="58" t="s">
        <v>425</v>
      </c>
      <c r="G44" s="58" t="s">
        <v>424</v>
      </c>
      <c r="H44" s="10" t="s">
        <v>387</v>
      </c>
      <c r="I44" s="58"/>
      <c r="J44" s="58"/>
      <c r="K44" s="66"/>
      <c r="L44" s="58"/>
      <c r="M44" s="58"/>
      <c r="N44" s="65"/>
      <c r="O44" s="58"/>
      <c r="P44" s="58"/>
      <c r="Q44" s="198"/>
      <c r="R44" s="65"/>
      <c r="S44" s="58"/>
      <c r="T44" s="58"/>
      <c r="U44" s="203"/>
      <c r="V44" s="65"/>
      <c r="W44" s="65"/>
      <c r="X44" s="58"/>
      <c r="Y44" s="58"/>
      <c r="Z44" s="58"/>
      <c r="AA44" s="204"/>
      <c r="AB44" s="69"/>
      <c r="AC44" s="69"/>
      <c r="AD44" s="65"/>
      <c r="AE44" s="198"/>
      <c r="AF44" s="58"/>
      <c r="AG44" s="204"/>
      <c r="AH44" s="69"/>
      <c r="AI44" s="69"/>
      <c r="AJ44" s="69"/>
    </row>
    <row r="45" spans="1:36" ht="30" customHeight="1" x14ac:dyDescent="0.3">
      <c r="A45" s="60" t="str">
        <f t="shared" si="0"/>
        <v>Unitil</v>
      </c>
      <c r="B45" s="66" t="s">
        <v>383</v>
      </c>
      <c r="C45" s="66" t="s">
        <v>383</v>
      </c>
      <c r="D45" s="58" t="s">
        <v>422</v>
      </c>
      <c r="E45" s="58" t="s">
        <v>418</v>
      </c>
      <c r="F45" s="58" t="s">
        <v>426</v>
      </c>
      <c r="G45" s="58" t="s">
        <v>418</v>
      </c>
      <c r="H45" s="10" t="s">
        <v>387</v>
      </c>
      <c r="I45" s="58"/>
      <c r="J45" s="58"/>
      <c r="K45" s="66"/>
      <c r="L45" s="58"/>
      <c r="M45" s="58"/>
      <c r="N45" s="65"/>
      <c r="O45" s="58"/>
      <c r="P45" s="58"/>
      <c r="Q45" s="198"/>
      <c r="R45" s="65"/>
      <c r="S45" s="58"/>
      <c r="T45" s="58"/>
      <c r="U45" s="203"/>
      <c r="V45" s="65"/>
      <c r="W45" s="65"/>
      <c r="X45" s="58"/>
      <c r="Y45" s="58"/>
      <c r="Z45" s="58"/>
      <c r="AA45" s="204"/>
      <c r="AB45" s="69"/>
      <c r="AC45" s="69"/>
      <c r="AD45" s="65"/>
      <c r="AE45" s="198"/>
      <c r="AF45" s="58"/>
      <c r="AG45" s="204"/>
      <c r="AH45" s="69"/>
      <c r="AI45" s="69"/>
      <c r="AJ45" s="69"/>
    </row>
    <row r="46" spans="1:36" ht="30" customHeight="1" x14ac:dyDescent="0.3">
      <c r="A46" s="60" t="str">
        <f t="shared" si="0"/>
        <v>Unitil</v>
      </c>
      <c r="B46" s="66" t="s">
        <v>383</v>
      </c>
      <c r="C46" s="66" t="s">
        <v>383</v>
      </c>
      <c r="D46" s="58" t="s">
        <v>422</v>
      </c>
      <c r="E46" s="58" t="s">
        <v>418</v>
      </c>
      <c r="F46" s="496"/>
      <c r="G46" s="496"/>
      <c r="H46" s="497"/>
      <c r="I46" s="58"/>
      <c r="J46" s="58"/>
      <c r="K46" s="66"/>
      <c r="L46" s="58"/>
      <c r="M46" s="58"/>
      <c r="N46" s="65"/>
      <c r="O46" s="58"/>
      <c r="P46" s="58"/>
      <c r="Q46" s="198"/>
      <c r="R46" s="65"/>
      <c r="S46" s="58"/>
      <c r="T46" s="58"/>
      <c r="U46" s="203"/>
      <c r="V46" s="65"/>
      <c r="W46" s="65"/>
      <c r="X46" s="58"/>
      <c r="Y46" s="58"/>
      <c r="Z46" s="58"/>
      <c r="AA46" s="204"/>
      <c r="AB46" s="69"/>
      <c r="AC46" s="69"/>
      <c r="AD46" s="65"/>
      <c r="AE46" s="198"/>
      <c r="AF46" s="58"/>
      <c r="AG46" s="204"/>
      <c r="AH46" s="69"/>
      <c r="AI46" s="69"/>
      <c r="AJ46" s="69"/>
    </row>
    <row r="47" spans="1:36" ht="30" customHeight="1" x14ac:dyDescent="0.3">
      <c r="A47" s="60" t="str">
        <f t="shared" si="0"/>
        <v>Unitil</v>
      </c>
      <c r="B47" s="66" t="s">
        <v>383</v>
      </c>
      <c r="C47" s="66" t="s">
        <v>383</v>
      </c>
      <c r="D47" s="58" t="s">
        <v>427</v>
      </c>
      <c r="E47" s="58" t="s">
        <v>385</v>
      </c>
      <c r="F47" s="58" t="s">
        <v>428</v>
      </c>
      <c r="G47" s="58" t="s">
        <v>429</v>
      </c>
      <c r="H47" s="10" t="s">
        <v>387</v>
      </c>
      <c r="I47" s="58"/>
      <c r="J47" s="58"/>
      <c r="K47" s="66"/>
      <c r="L47" s="58"/>
      <c r="M47" s="58"/>
      <c r="N47" s="65"/>
      <c r="O47" s="58"/>
      <c r="P47" s="58"/>
      <c r="Q47" s="198"/>
      <c r="R47" s="65"/>
      <c r="S47" s="58"/>
      <c r="T47" s="58"/>
      <c r="U47" s="203"/>
      <c r="V47" s="65"/>
      <c r="W47" s="65"/>
      <c r="X47" s="58"/>
      <c r="Y47" s="58"/>
      <c r="Z47" s="58"/>
      <c r="AA47" s="204"/>
      <c r="AB47" s="69"/>
      <c r="AC47" s="69"/>
      <c r="AD47" s="65"/>
      <c r="AE47" s="198"/>
      <c r="AF47" s="58"/>
      <c r="AG47" s="204"/>
      <c r="AH47" s="69"/>
      <c r="AI47" s="69"/>
      <c r="AJ47" s="69"/>
    </row>
    <row r="48" spans="1:36" ht="30" customHeight="1" x14ac:dyDescent="0.3">
      <c r="A48" s="60" t="str">
        <f t="shared" si="0"/>
        <v>Unitil</v>
      </c>
      <c r="B48" s="66" t="s">
        <v>383</v>
      </c>
      <c r="C48" s="66" t="s">
        <v>383</v>
      </c>
      <c r="D48" s="58" t="s">
        <v>427</v>
      </c>
      <c r="E48" s="58" t="s">
        <v>385</v>
      </c>
      <c r="F48" s="496"/>
      <c r="G48" s="496"/>
      <c r="H48" s="497"/>
      <c r="I48" s="58"/>
      <c r="J48" s="58"/>
      <c r="K48" s="66"/>
      <c r="L48" s="58"/>
      <c r="M48" s="58"/>
      <c r="N48" s="65"/>
      <c r="O48" s="58"/>
      <c r="P48" s="58"/>
      <c r="Q48" s="198"/>
      <c r="R48" s="65"/>
      <c r="S48" s="58"/>
      <c r="T48" s="58"/>
      <c r="U48" s="203"/>
      <c r="V48" s="65"/>
      <c r="W48" s="65"/>
      <c r="X48" s="58"/>
      <c r="Y48" s="58"/>
      <c r="Z48" s="58"/>
      <c r="AA48" s="204"/>
      <c r="AB48" s="69"/>
      <c r="AC48" s="69"/>
      <c r="AD48" s="65"/>
      <c r="AE48" s="198"/>
      <c r="AF48" s="58"/>
      <c r="AG48" s="204"/>
      <c r="AH48" s="69"/>
      <c r="AI48" s="69"/>
      <c r="AJ48" s="69"/>
    </row>
    <row r="49" spans="1:36" ht="30" customHeight="1" x14ac:dyDescent="0.3">
      <c r="A49" s="60" t="str">
        <f t="shared" si="0"/>
        <v>Unitil</v>
      </c>
      <c r="B49" s="66" t="s">
        <v>383</v>
      </c>
      <c r="C49" s="66" t="s">
        <v>383</v>
      </c>
      <c r="D49" s="58" t="s">
        <v>430</v>
      </c>
      <c r="E49" s="58" t="s">
        <v>395</v>
      </c>
      <c r="F49" s="58" t="s">
        <v>431</v>
      </c>
      <c r="G49" s="58" t="s">
        <v>399</v>
      </c>
      <c r="H49" s="10" t="s">
        <v>387</v>
      </c>
      <c r="I49" s="58"/>
      <c r="J49" s="58"/>
      <c r="K49" s="66"/>
      <c r="L49" s="58"/>
      <c r="M49" s="58"/>
      <c r="N49" s="65"/>
      <c r="O49" s="58"/>
      <c r="P49" s="58"/>
      <c r="Q49" s="198"/>
      <c r="R49" s="65"/>
      <c r="S49" s="58"/>
      <c r="T49" s="58"/>
      <c r="U49" s="203"/>
      <c r="V49" s="65"/>
      <c r="W49" s="65"/>
      <c r="X49" s="58"/>
      <c r="Y49" s="58"/>
      <c r="Z49" s="58"/>
      <c r="AA49" s="204"/>
      <c r="AB49" s="69"/>
      <c r="AC49" s="69"/>
      <c r="AD49" s="65"/>
      <c r="AE49" s="198"/>
      <c r="AF49" s="58"/>
      <c r="AG49" s="204"/>
      <c r="AH49" s="69"/>
      <c r="AI49" s="69"/>
      <c r="AJ49" s="69"/>
    </row>
    <row r="50" spans="1:36" ht="30" customHeight="1" x14ac:dyDescent="0.3">
      <c r="A50" s="60" t="str">
        <f t="shared" si="0"/>
        <v>Unitil</v>
      </c>
      <c r="B50" s="66" t="s">
        <v>383</v>
      </c>
      <c r="C50" s="66" t="s">
        <v>383</v>
      </c>
      <c r="D50" s="58" t="s">
        <v>430</v>
      </c>
      <c r="E50" s="58" t="s">
        <v>395</v>
      </c>
      <c r="F50" s="58" t="s">
        <v>432</v>
      </c>
      <c r="G50" s="58" t="s">
        <v>433</v>
      </c>
      <c r="H50" s="10" t="s">
        <v>387</v>
      </c>
      <c r="I50" s="58"/>
      <c r="J50" s="58"/>
      <c r="K50" s="66"/>
      <c r="L50" s="58"/>
      <c r="M50" s="58"/>
      <c r="N50" s="65"/>
      <c r="O50" s="58"/>
      <c r="P50" s="58"/>
      <c r="Q50" s="198"/>
      <c r="R50" s="65"/>
      <c r="S50" s="58"/>
      <c r="T50" s="58"/>
      <c r="U50" s="203"/>
      <c r="V50" s="65"/>
      <c r="W50" s="65"/>
      <c r="X50" s="58"/>
      <c r="Y50" s="58"/>
      <c r="Z50" s="58"/>
      <c r="AA50" s="204"/>
      <c r="AB50" s="69"/>
      <c r="AC50" s="69"/>
      <c r="AD50" s="65"/>
      <c r="AE50" s="198"/>
      <c r="AF50" s="58"/>
      <c r="AG50" s="204"/>
      <c r="AH50" s="69"/>
      <c r="AI50" s="69"/>
      <c r="AJ50" s="69"/>
    </row>
    <row r="51" spans="1:36" ht="30" customHeight="1" x14ac:dyDescent="0.3">
      <c r="A51" s="60" t="str">
        <f t="shared" si="0"/>
        <v>Unitil</v>
      </c>
      <c r="B51" s="66" t="s">
        <v>383</v>
      </c>
      <c r="C51" s="66" t="s">
        <v>383</v>
      </c>
      <c r="D51" s="58" t="s">
        <v>430</v>
      </c>
      <c r="E51" s="58" t="s">
        <v>395</v>
      </c>
      <c r="F51" s="496"/>
      <c r="G51" s="496"/>
      <c r="H51" s="497"/>
      <c r="I51" s="58"/>
      <c r="J51" s="58"/>
      <c r="K51" s="66"/>
      <c r="L51" s="58"/>
      <c r="M51" s="58"/>
      <c r="N51" s="65"/>
      <c r="O51" s="58"/>
      <c r="P51" s="58"/>
      <c r="Q51" s="198"/>
      <c r="R51" s="65"/>
      <c r="S51" s="58"/>
      <c r="T51" s="58"/>
      <c r="U51" s="203"/>
      <c r="V51" s="65"/>
      <c r="W51" s="65"/>
      <c r="X51" s="58"/>
      <c r="Y51" s="58"/>
      <c r="Z51" s="58"/>
      <c r="AA51" s="204"/>
      <c r="AB51" s="69"/>
      <c r="AC51" s="69"/>
      <c r="AD51" s="65"/>
      <c r="AE51" s="198"/>
      <c r="AF51" s="58"/>
      <c r="AG51" s="204"/>
      <c r="AH51" s="69"/>
      <c r="AI51" s="69"/>
      <c r="AJ51" s="69"/>
    </row>
    <row r="52" spans="1:36" ht="30" customHeight="1" x14ac:dyDescent="0.3">
      <c r="A52" s="60" t="str">
        <f t="shared" si="0"/>
        <v>Unitil</v>
      </c>
      <c r="B52" s="66" t="s">
        <v>383</v>
      </c>
      <c r="C52" s="66" t="s">
        <v>383</v>
      </c>
      <c r="D52" s="58" t="s">
        <v>434</v>
      </c>
      <c r="E52" s="58" t="s">
        <v>385</v>
      </c>
      <c r="F52" s="58" t="s">
        <v>435</v>
      </c>
      <c r="G52" s="58" t="s">
        <v>385</v>
      </c>
      <c r="H52" s="10" t="s">
        <v>387</v>
      </c>
      <c r="I52" s="58"/>
      <c r="J52" s="58"/>
      <c r="K52" s="66"/>
      <c r="L52" s="58"/>
      <c r="M52" s="58"/>
      <c r="N52" s="65"/>
      <c r="O52" s="58"/>
      <c r="P52" s="58"/>
      <c r="Q52" s="198"/>
      <c r="R52" s="65"/>
      <c r="S52" s="58"/>
      <c r="T52" s="58"/>
      <c r="U52" s="203"/>
      <c r="V52" s="65"/>
      <c r="W52" s="65"/>
      <c r="X52" s="58"/>
      <c r="Y52" s="58"/>
      <c r="Z52" s="58"/>
      <c r="AA52" s="204"/>
      <c r="AB52" s="69"/>
      <c r="AC52" s="69"/>
      <c r="AD52" s="65"/>
      <c r="AE52" s="198"/>
      <c r="AF52" s="58"/>
      <c r="AG52" s="204"/>
      <c r="AH52" s="69"/>
      <c r="AI52" s="69"/>
      <c r="AJ52" s="69"/>
    </row>
    <row r="53" spans="1:36" ht="30" customHeight="1" x14ac:dyDescent="0.3">
      <c r="A53" s="60" t="str">
        <f t="shared" si="0"/>
        <v>Unitil</v>
      </c>
      <c r="B53" s="66" t="s">
        <v>383</v>
      </c>
      <c r="C53" s="66" t="s">
        <v>383</v>
      </c>
      <c r="D53" s="58" t="s">
        <v>434</v>
      </c>
      <c r="E53" s="58" t="s">
        <v>385</v>
      </c>
      <c r="F53" s="58" t="s">
        <v>436</v>
      </c>
      <c r="G53" s="58" t="s">
        <v>385</v>
      </c>
      <c r="H53" s="10" t="s">
        <v>387</v>
      </c>
      <c r="I53" s="58"/>
      <c r="J53" s="58"/>
      <c r="K53" s="66"/>
      <c r="L53" s="58"/>
      <c r="M53" s="58"/>
      <c r="N53" s="65"/>
      <c r="O53" s="58"/>
      <c r="P53" s="58"/>
      <c r="Q53" s="198"/>
      <c r="R53" s="65"/>
      <c r="S53" s="58"/>
      <c r="T53" s="58"/>
      <c r="U53" s="203"/>
      <c r="V53" s="65"/>
      <c r="W53" s="65"/>
      <c r="X53" s="58"/>
      <c r="Y53" s="58"/>
      <c r="Z53" s="58"/>
      <c r="AA53" s="204"/>
      <c r="AB53" s="69"/>
      <c r="AC53" s="69"/>
      <c r="AD53" s="65"/>
      <c r="AE53" s="198"/>
      <c r="AF53" s="58"/>
      <c r="AG53" s="204"/>
      <c r="AH53" s="69"/>
      <c r="AI53" s="69"/>
      <c r="AJ53" s="69"/>
    </row>
    <row r="54" spans="1:36" ht="30" customHeight="1" x14ac:dyDescent="0.3">
      <c r="A54" s="60" t="str">
        <f t="shared" si="0"/>
        <v>Unitil</v>
      </c>
      <c r="B54" s="66" t="s">
        <v>383</v>
      </c>
      <c r="C54" s="66" t="s">
        <v>383</v>
      </c>
      <c r="D54" s="58" t="s">
        <v>434</v>
      </c>
      <c r="E54" s="58" t="s">
        <v>385</v>
      </c>
      <c r="F54" s="58" t="s">
        <v>437</v>
      </c>
      <c r="G54" s="58" t="s">
        <v>438</v>
      </c>
      <c r="H54" s="10" t="s">
        <v>387</v>
      </c>
      <c r="I54" s="58"/>
      <c r="J54" s="58"/>
      <c r="K54" s="66"/>
      <c r="L54" s="58"/>
      <c r="M54" s="58"/>
      <c r="N54" s="65"/>
      <c r="O54" s="58"/>
      <c r="P54" s="58"/>
      <c r="Q54" s="198"/>
      <c r="R54" s="65"/>
      <c r="S54" s="58"/>
      <c r="T54" s="58"/>
      <c r="U54" s="203"/>
      <c r="V54" s="65"/>
      <c r="W54" s="65"/>
      <c r="X54" s="58"/>
      <c r="Y54" s="58"/>
      <c r="Z54" s="58"/>
      <c r="AA54" s="204"/>
      <c r="AB54" s="69"/>
      <c r="AC54" s="69"/>
      <c r="AD54" s="65"/>
      <c r="AE54" s="198"/>
      <c r="AF54" s="58"/>
      <c r="AG54" s="204"/>
      <c r="AH54" s="69"/>
      <c r="AI54" s="69"/>
      <c r="AJ54" s="69"/>
    </row>
    <row r="55" spans="1:36" ht="30" customHeight="1" x14ac:dyDescent="0.3">
      <c r="A55" s="60" t="str">
        <f t="shared" si="0"/>
        <v>Unitil</v>
      </c>
      <c r="B55" s="66" t="s">
        <v>383</v>
      </c>
      <c r="C55" s="66" t="s">
        <v>383</v>
      </c>
      <c r="D55" s="58" t="s">
        <v>434</v>
      </c>
      <c r="E55" s="58" t="s">
        <v>385</v>
      </c>
      <c r="F55" s="58" t="s">
        <v>439</v>
      </c>
      <c r="G55" s="58" t="s">
        <v>385</v>
      </c>
      <c r="H55" s="10" t="s">
        <v>387</v>
      </c>
      <c r="I55" s="58"/>
      <c r="J55" s="58"/>
      <c r="K55" s="66"/>
      <c r="L55" s="58"/>
      <c r="M55" s="58"/>
      <c r="N55" s="65"/>
      <c r="O55" s="58"/>
      <c r="P55" s="58"/>
      <c r="Q55" s="198"/>
      <c r="R55" s="65"/>
      <c r="S55" s="58"/>
      <c r="T55" s="58"/>
      <c r="U55" s="203"/>
      <c r="V55" s="65"/>
      <c r="W55" s="65"/>
      <c r="X55" s="58"/>
      <c r="Y55" s="58"/>
      <c r="Z55" s="58"/>
      <c r="AA55" s="204"/>
      <c r="AB55" s="69"/>
      <c r="AC55" s="69"/>
      <c r="AD55" s="65"/>
      <c r="AE55" s="198"/>
      <c r="AF55" s="58"/>
      <c r="AG55" s="204"/>
      <c r="AH55" s="69"/>
      <c r="AI55" s="69"/>
      <c r="AJ55" s="69"/>
    </row>
    <row r="56" spans="1:36" ht="30" customHeight="1" x14ac:dyDescent="0.3">
      <c r="A56" s="60" t="str">
        <f t="shared" si="0"/>
        <v>Unitil</v>
      </c>
      <c r="B56" s="66" t="s">
        <v>383</v>
      </c>
      <c r="C56" s="66" t="s">
        <v>383</v>
      </c>
      <c r="D56" s="58" t="s">
        <v>434</v>
      </c>
      <c r="E56" s="58" t="s">
        <v>385</v>
      </c>
      <c r="F56" s="58">
        <v>1303</v>
      </c>
      <c r="G56" s="58" t="s">
        <v>385</v>
      </c>
      <c r="H56" s="10" t="s">
        <v>387</v>
      </c>
      <c r="I56" s="58"/>
      <c r="J56" s="58"/>
      <c r="K56" s="66"/>
      <c r="L56" s="58"/>
      <c r="M56" s="58"/>
      <c r="N56" s="65"/>
      <c r="O56" s="58"/>
      <c r="P56" s="58"/>
      <c r="Q56" s="198"/>
      <c r="R56" s="65"/>
      <c r="S56" s="58"/>
      <c r="T56" s="58"/>
      <c r="U56" s="203"/>
      <c r="V56" s="65"/>
      <c r="W56" s="65"/>
      <c r="X56" s="58"/>
      <c r="Y56" s="58"/>
      <c r="Z56" s="58"/>
      <c r="AA56" s="204"/>
      <c r="AB56" s="69"/>
      <c r="AC56" s="69"/>
      <c r="AD56" s="65"/>
      <c r="AE56" s="198"/>
      <c r="AF56" s="58"/>
      <c r="AG56" s="204"/>
      <c r="AH56" s="69"/>
      <c r="AI56" s="69"/>
      <c r="AJ56" s="69"/>
    </row>
    <row r="57" spans="1:36" ht="30" customHeight="1" x14ac:dyDescent="0.3">
      <c r="A57" s="60" t="str">
        <f t="shared" si="0"/>
        <v>Unitil</v>
      </c>
      <c r="B57" s="66" t="s">
        <v>383</v>
      </c>
      <c r="C57" s="66" t="s">
        <v>383</v>
      </c>
      <c r="D57" s="58" t="s">
        <v>434</v>
      </c>
      <c r="E57" s="58" t="s">
        <v>385</v>
      </c>
      <c r="F57" s="58">
        <v>1309</v>
      </c>
      <c r="G57" s="58" t="s">
        <v>385</v>
      </c>
      <c r="H57" s="10" t="s">
        <v>387</v>
      </c>
      <c r="I57" s="58"/>
      <c r="J57" s="58"/>
      <c r="K57" s="66"/>
      <c r="L57" s="58"/>
      <c r="M57" s="58"/>
      <c r="N57" s="65"/>
      <c r="O57" s="58"/>
      <c r="P57" s="58"/>
      <c r="Q57" s="198"/>
      <c r="R57" s="65"/>
      <c r="S57" s="58"/>
      <c r="T57" s="58"/>
      <c r="U57" s="203"/>
      <c r="V57" s="65"/>
      <c r="W57" s="65"/>
      <c r="X57" s="58"/>
      <c r="Y57" s="58"/>
      <c r="Z57" s="58"/>
      <c r="AA57" s="204"/>
      <c r="AB57" s="69"/>
      <c r="AC57" s="69"/>
      <c r="AD57" s="65"/>
      <c r="AE57" s="198"/>
      <c r="AF57" s="58"/>
      <c r="AG57" s="204"/>
      <c r="AH57" s="69"/>
      <c r="AI57" s="69"/>
      <c r="AJ57" s="69"/>
    </row>
    <row r="58" spans="1:36" ht="30" customHeight="1" x14ac:dyDescent="0.3">
      <c r="A58" s="60" t="str">
        <f t="shared" si="0"/>
        <v>Unitil</v>
      </c>
      <c r="B58" s="66" t="s">
        <v>383</v>
      </c>
      <c r="C58" s="66" t="s">
        <v>383</v>
      </c>
      <c r="D58" s="58" t="s">
        <v>434</v>
      </c>
      <c r="E58" s="58" t="s">
        <v>385</v>
      </c>
      <c r="F58" s="496"/>
      <c r="G58" s="496"/>
      <c r="H58" s="497"/>
      <c r="I58" s="58"/>
      <c r="J58" s="58"/>
      <c r="K58" s="58"/>
      <c r="L58" s="58"/>
      <c r="M58" s="58"/>
      <c r="N58" s="65"/>
      <c r="O58" s="58"/>
      <c r="P58" s="58"/>
      <c r="Q58" s="204"/>
      <c r="R58" s="65"/>
      <c r="S58" s="58"/>
      <c r="T58" s="58"/>
      <c r="U58" s="203"/>
      <c r="V58" s="65"/>
      <c r="W58" s="205"/>
      <c r="X58" s="633"/>
      <c r="Y58" s="633"/>
      <c r="Z58" s="633"/>
      <c r="AA58" s="208"/>
      <c r="AB58" s="69"/>
      <c r="AC58" s="207"/>
      <c r="AD58" s="205"/>
      <c r="AE58" s="206"/>
      <c r="AF58" s="58"/>
      <c r="AG58" s="204"/>
      <c r="AH58" s="207"/>
      <c r="AI58" s="69"/>
      <c r="AJ58" s="207"/>
    </row>
    <row r="59" spans="1:36" ht="30" customHeight="1" x14ac:dyDescent="0.3">
      <c r="A59" s="60" t="str">
        <f t="shared" si="0"/>
        <v>Unitil</v>
      </c>
      <c r="B59" s="66" t="s">
        <v>383</v>
      </c>
      <c r="C59" s="66" t="s">
        <v>383</v>
      </c>
      <c r="D59" s="58" t="s">
        <v>440</v>
      </c>
      <c r="E59" s="58" t="s">
        <v>385</v>
      </c>
      <c r="F59" s="58" t="s">
        <v>441</v>
      </c>
      <c r="G59" s="58" t="s">
        <v>385</v>
      </c>
      <c r="H59" s="10" t="s">
        <v>387</v>
      </c>
      <c r="I59" s="58"/>
      <c r="J59" s="58"/>
      <c r="K59" s="58"/>
      <c r="L59" s="58"/>
      <c r="M59" s="58"/>
      <c r="N59" s="65"/>
      <c r="O59" s="58"/>
      <c r="P59" s="58"/>
      <c r="Q59" s="204"/>
      <c r="R59" s="65"/>
      <c r="S59" s="58"/>
      <c r="T59" s="58"/>
      <c r="U59" s="203"/>
      <c r="V59" s="65"/>
      <c r="W59" s="205"/>
      <c r="X59" s="633"/>
      <c r="Y59" s="633"/>
      <c r="Z59" s="633"/>
      <c r="AA59" s="208"/>
      <c r="AB59" s="69"/>
      <c r="AC59" s="207"/>
      <c r="AD59" s="205"/>
      <c r="AE59" s="208"/>
      <c r="AF59" s="58"/>
      <c r="AG59" s="204"/>
      <c r="AH59" s="207"/>
      <c r="AI59" s="69"/>
      <c r="AJ59" s="207"/>
    </row>
    <row r="60" spans="1:36" ht="30" customHeight="1" x14ac:dyDescent="0.3">
      <c r="A60" s="60" t="str">
        <f t="shared" si="0"/>
        <v>Unitil</v>
      </c>
      <c r="B60" s="66" t="s">
        <v>383</v>
      </c>
      <c r="C60" s="66" t="s">
        <v>383</v>
      </c>
      <c r="D60" s="58" t="s">
        <v>440</v>
      </c>
      <c r="E60" s="58" t="s">
        <v>385</v>
      </c>
      <c r="F60" s="58" t="s">
        <v>442</v>
      </c>
      <c r="G60" s="58" t="s">
        <v>385</v>
      </c>
      <c r="H60" s="10" t="s">
        <v>387</v>
      </c>
      <c r="I60" s="58"/>
      <c r="J60" s="58"/>
      <c r="K60" s="58"/>
      <c r="L60" s="58"/>
      <c r="M60" s="58"/>
      <c r="N60" s="65"/>
      <c r="O60" s="58"/>
      <c r="P60" s="58"/>
      <c r="Q60" s="204"/>
      <c r="R60" s="65"/>
      <c r="S60" s="58"/>
      <c r="T60" s="58"/>
      <c r="U60" s="203"/>
      <c r="V60" s="65"/>
      <c r="W60" s="205"/>
      <c r="X60" s="633"/>
      <c r="Y60" s="633"/>
      <c r="Z60" s="633"/>
      <c r="AA60" s="208"/>
      <c r="AB60" s="69"/>
      <c r="AC60" s="207"/>
      <c r="AD60" s="205"/>
      <c r="AE60" s="208"/>
      <c r="AF60" s="58"/>
      <c r="AG60" s="204"/>
      <c r="AH60" s="207"/>
      <c r="AI60" s="69"/>
      <c r="AJ60" s="207"/>
    </row>
    <row r="61" spans="1:36" ht="30" customHeight="1" x14ac:dyDescent="0.3">
      <c r="A61" s="60" t="str">
        <f t="shared" si="0"/>
        <v>Unitil</v>
      </c>
      <c r="B61" s="66" t="s">
        <v>383</v>
      </c>
      <c r="C61" s="66" t="s">
        <v>383</v>
      </c>
      <c r="D61" s="58" t="s">
        <v>440</v>
      </c>
      <c r="E61" s="58" t="s">
        <v>385</v>
      </c>
      <c r="F61" s="58" t="s">
        <v>443</v>
      </c>
      <c r="G61" s="58" t="s">
        <v>385</v>
      </c>
      <c r="H61" s="10" t="s">
        <v>387</v>
      </c>
      <c r="I61" s="58"/>
      <c r="J61" s="58"/>
      <c r="K61" s="58"/>
      <c r="L61" s="58"/>
      <c r="M61" s="58"/>
      <c r="N61" s="65"/>
      <c r="O61" s="58"/>
      <c r="P61" s="58"/>
      <c r="Q61" s="204"/>
      <c r="R61" s="65"/>
      <c r="S61" s="58"/>
      <c r="T61" s="58"/>
      <c r="U61" s="203"/>
      <c r="V61" s="65"/>
      <c r="W61" s="205"/>
      <c r="X61" s="633"/>
      <c r="Y61" s="633"/>
      <c r="Z61" s="633"/>
      <c r="AA61" s="208"/>
      <c r="AB61" s="69"/>
      <c r="AC61" s="207"/>
      <c r="AD61" s="205"/>
      <c r="AE61" s="208"/>
      <c r="AF61" s="58"/>
      <c r="AG61" s="204"/>
      <c r="AH61" s="207"/>
      <c r="AI61" s="69"/>
      <c r="AJ61" s="207"/>
    </row>
    <row r="62" spans="1:36" ht="30" customHeight="1" x14ac:dyDescent="0.3">
      <c r="A62" s="60" t="str">
        <f t="shared" si="0"/>
        <v>Unitil</v>
      </c>
      <c r="B62" s="66" t="s">
        <v>383</v>
      </c>
      <c r="C62" s="66" t="s">
        <v>383</v>
      </c>
      <c r="D62" s="58" t="s">
        <v>440</v>
      </c>
      <c r="E62" s="58" t="s">
        <v>385</v>
      </c>
      <c r="F62" s="58" t="s">
        <v>444</v>
      </c>
      <c r="G62" s="58" t="s">
        <v>385</v>
      </c>
      <c r="H62" s="10" t="s">
        <v>387</v>
      </c>
      <c r="I62" s="58"/>
      <c r="J62" s="58"/>
      <c r="K62" s="58"/>
      <c r="L62" s="58"/>
      <c r="M62" s="58"/>
      <c r="N62" s="65"/>
      <c r="O62" s="58"/>
      <c r="P62" s="58"/>
      <c r="Q62" s="204"/>
      <c r="R62" s="65"/>
      <c r="S62" s="58"/>
      <c r="T62" s="58"/>
      <c r="U62" s="203"/>
      <c r="V62" s="65"/>
      <c r="W62" s="205"/>
      <c r="X62" s="633"/>
      <c r="Y62" s="633"/>
      <c r="Z62" s="633"/>
      <c r="AA62" s="208"/>
      <c r="AB62" s="69"/>
      <c r="AC62" s="207"/>
      <c r="AD62" s="205"/>
      <c r="AE62" s="208"/>
      <c r="AF62" s="58"/>
      <c r="AG62" s="204"/>
      <c r="AH62" s="207"/>
      <c r="AI62" s="69"/>
      <c r="AJ62" s="207"/>
    </row>
    <row r="63" spans="1:36" ht="30" customHeight="1" x14ac:dyDescent="0.3">
      <c r="A63" s="60" t="str">
        <f t="shared" si="0"/>
        <v>Unitil</v>
      </c>
      <c r="B63" s="66" t="s">
        <v>383</v>
      </c>
      <c r="C63" s="66" t="s">
        <v>383</v>
      </c>
      <c r="D63" s="58" t="s">
        <v>440</v>
      </c>
      <c r="E63" s="58" t="s">
        <v>385</v>
      </c>
      <c r="F63" s="58" t="s">
        <v>445</v>
      </c>
      <c r="G63" s="58" t="s">
        <v>385</v>
      </c>
      <c r="H63" s="196" t="s">
        <v>387</v>
      </c>
      <c r="I63" s="58"/>
      <c r="J63" s="58"/>
      <c r="K63" s="58"/>
      <c r="L63" s="58"/>
      <c r="M63" s="58"/>
      <c r="N63" s="65"/>
      <c r="O63" s="58"/>
      <c r="P63" s="58"/>
      <c r="Q63" s="204"/>
      <c r="R63" s="65"/>
      <c r="S63" s="58"/>
      <c r="T63" s="58"/>
      <c r="U63" s="203"/>
      <c r="V63" s="65"/>
      <c r="W63" s="205"/>
      <c r="X63" s="633"/>
      <c r="Y63" s="633"/>
      <c r="Z63" s="633"/>
      <c r="AA63" s="208"/>
      <c r="AB63" s="69"/>
      <c r="AC63" s="207"/>
      <c r="AD63" s="205"/>
      <c r="AE63" s="208"/>
      <c r="AF63" s="58"/>
      <c r="AG63" s="204"/>
      <c r="AH63" s="207"/>
      <c r="AI63" s="69"/>
      <c r="AJ63" s="207"/>
    </row>
    <row r="64" spans="1:36" ht="30" customHeight="1" thickBot="1" x14ac:dyDescent="0.35">
      <c r="A64" s="60" t="str">
        <f t="shared" si="0"/>
        <v>Unitil</v>
      </c>
      <c r="B64" s="66" t="s">
        <v>383</v>
      </c>
      <c r="C64" s="66" t="s">
        <v>383</v>
      </c>
      <c r="D64" s="58" t="s">
        <v>440</v>
      </c>
      <c r="E64" s="58" t="s">
        <v>385</v>
      </c>
      <c r="F64" s="496"/>
      <c r="G64" s="496"/>
      <c r="H64" s="508"/>
      <c r="I64" s="212"/>
      <c r="J64" s="58"/>
      <c r="K64" s="212"/>
      <c r="L64" s="212"/>
      <c r="M64" s="212"/>
      <c r="N64" s="211"/>
      <c r="O64" s="212"/>
      <c r="P64" s="212"/>
      <c r="Q64" s="213"/>
      <c r="R64" s="604"/>
      <c r="S64" s="209"/>
      <c r="T64" s="209"/>
      <c r="U64" s="210"/>
      <c r="V64" s="604"/>
      <c r="W64" s="634"/>
      <c r="X64" s="635"/>
      <c r="Y64" s="635"/>
      <c r="Z64" s="635"/>
      <c r="AA64" s="636"/>
      <c r="AB64" s="69"/>
      <c r="AC64" s="216"/>
      <c r="AD64" s="214"/>
      <c r="AE64" s="215"/>
      <c r="AF64" s="209"/>
      <c r="AG64" s="605"/>
      <c r="AH64" s="216"/>
      <c r="AI64" s="509"/>
      <c r="AJ64" s="216"/>
    </row>
    <row r="65" spans="1:36" ht="15" thickBot="1" x14ac:dyDescent="0.35">
      <c r="A65" s="236" t="s">
        <v>31</v>
      </c>
      <c r="B65" s="871"/>
      <c r="C65" s="872"/>
      <c r="D65" s="872"/>
      <c r="E65" s="872"/>
      <c r="F65" s="872"/>
      <c r="G65" s="872"/>
      <c r="H65" s="873"/>
      <c r="I65" s="200">
        <f>SUM(I8:I64)</f>
        <v>0</v>
      </c>
      <c r="J65" s="200">
        <f t="shared" ref="J65:AI65" si="1">SUM(J8:J64)</f>
        <v>0</v>
      </c>
      <c r="K65" s="200">
        <f>SUM(K8:K64)</f>
        <v>0</v>
      </c>
      <c r="L65" s="200">
        <f t="shared" ref="L65" si="2">SUM(L8:L64)</f>
        <v>0</v>
      </c>
      <c r="M65" s="200">
        <f t="shared" si="1"/>
        <v>0</v>
      </c>
      <c r="N65" s="199">
        <f t="shared" si="1"/>
        <v>0</v>
      </c>
      <c r="O65" s="200">
        <f t="shared" si="1"/>
        <v>0</v>
      </c>
      <c r="P65" s="200">
        <f t="shared" si="1"/>
        <v>0</v>
      </c>
      <c r="Q65" s="201">
        <f t="shared" si="1"/>
        <v>0</v>
      </c>
      <c r="R65" s="199">
        <f t="shared" si="1"/>
        <v>0</v>
      </c>
      <c r="S65" s="200">
        <f t="shared" si="1"/>
        <v>0</v>
      </c>
      <c r="T65" s="200">
        <f t="shared" si="1"/>
        <v>0</v>
      </c>
      <c r="U65" s="200">
        <f t="shared" si="1"/>
        <v>0</v>
      </c>
      <c r="V65" s="200">
        <f t="shared" si="1"/>
        <v>0</v>
      </c>
      <c r="W65" s="199">
        <f t="shared" si="1"/>
        <v>0</v>
      </c>
      <c r="X65" s="632"/>
      <c r="Y65" s="632"/>
      <c r="Z65" s="632"/>
      <c r="AA65" s="201">
        <f t="shared" si="1"/>
        <v>0</v>
      </c>
      <c r="AB65" s="202">
        <f t="shared" si="1"/>
        <v>0</v>
      </c>
      <c r="AC65" s="202">
        <f t="shared" si="1"/>
        <v>0</v>
      </c>
      <c r="AD65" s="199">
        <f t="shared" si="1"/>
        <v>0</v>
      </c>
      <c r="AE65" s="201">
        <f t="shared" si="1"/>
        <v>0</v>
      </c>
      <c r="AF65" s="200">
        <f t="shared" si="1"/>
        <v>0</v>
      </c>
      <c r="AG65" s="200">
        <f t="shared" si="1"/>
        <v>0</v>
      </c>
      <c r="AH65" s="202">
        <f t="shared" si="1"/>
        <v>0</v>
      </c>
      <c r="AI65" s="202">
        <f t="shared" si="1"/>
        <v>0</v>
      </c>
      <c r="AJ65" s="202">
        <f>SUM(AJ8:AJ64)</f>
        <v>0</v>
      </c>
    </row>
    <row r="66" spans="1:36" ht="30" customHeight="1" x14ac:dyDescent="0.3">
      <c r="A66" s="60" t="str">
        <f>$E$1</f>
        <v>Unitil</v>
      </c>
      <c r="B66" s="60"/>
      <c r="C66" s="60"/>
      <c r="D66" s="58" t="s">
        <v>19</v>
      </c>
      <c r="E66" s="58"/>
      <c r="F66" s="58"/>
      <c r="G66" s="58"/>
      <c r="H66" s="203"/>
    </row>
    <row r="67" spans="1:36" ht="30" customHeight="1" x14ac:dyDescent="0.3">
      <c r="A67" s="60" t="str">
        <f t="shared" ref="A67:A74" si="3">$E$1</f>
        <v>Unitil</v>
      </c>
      <c r="B67" s="60"/>
      <c r="C67" s="60"/>
      <c r="D67" s="58" t="s">
        <v>20</v>
      </c>
      <c r="E67" s="58"/>
      <c r="F67" s="58" t="s">
        <v>21</v>
      </c>
      <c r="G67" s="58"/>
      <c r="H67" s="203"/>
    </row>
    <row r="68" spans="1:36" ht="30" customHeight="1" x14ac:dyDescent="0.3">
      <c r="A68" s="60" t="str">
        <f t="shared" si="3"/>
        <v>Unitil</v>
      </c>
      <c r="B68" s="60"/>
      <c r="C68" s="60"/>
      <c r="D68" s="58" t="s">
        <v>20</v>
      </c>
      <c r="E68" s="58"/>
      <c r="F68" s="58" t="s">
        <v>22</v>
      </c>
      <c r="G68" s="58"/>
      <c r="H68" s="203"/>
      <c r="I68" s="153"/>
      <c r="J68" s="218"/>
      <c r="K68" s="218"/>
      <c r="L68" s="218"/>
      <c r="M68" s="218"/>
      <c r="N68" s="193"/>
      <c r="O68" s="193"/>
    </row>
    <row r="69" spans="1:36" ht="30" customHeight="1" x14ac:dyDescent="0.3">
      <c r="A69" s="60" t="str">
        <f t="shared" si="3"/>
        <v>Unitil</v>
      </c>
      <c r="B69" s="60"/>
      <c r="C69" s="60"/>
      <c r="D69" s="58" t="s">
        <v>23</v>
      </c>
      <c r="E69" s="58"/>
      <c r="F69" s="58"/>
      <c r="G69" s="58"/>
      <c r="H69" s="203"/>
      <c r="I69" s="186"/>
      <c r="J69" s="170"/>
      <c r="K69" s="170"/>
      <c r="L69" s="170"/>
      <c r="M69" s="170"/>
      <c r="N69" s="99"/>
      <c r="O69" s="99"/>
      <c r="P69" s="6"/>
      <c r="Q69" s="6"/>
    </row>
    <row r="70" spans="1:36" ht="30" customHeight="1" x14ac:dyDescent="0.3">
      <c r="A70" s="60" t="str">
        <f t="shared" si="3"/>
        <v>Unitil</v>
      </c>
      <c r="B70" s="60"/>
      <c r="C70" s="60"/>
      <c r="D70" s="58" t="s">
        <v>24</v>
      </c>
      <c r="E70" s="58"/>
      <c r="F70" s="58" t="s">
        <v>25</v>
      </c>
      <c r="G70" s="58"/>
      <c r="H70" s="203"/>
      <c r="I70" s="186"/>
      <c r="J70" s="170"/>
      <c r="K70" s="170"/>
      <c r="L70" s="170"/>
      <c r="M70" s="170"/>
      <c r="N70" s="99"/>
      <c r="O70" s="99"/>
      <c r="P70" s="6"/>
      <c r="Q70" s="6"/>
    </row>
    <row r="71" spans="1:36" ht="30" customHeight="1" x14ac:dyDescent="0.3">
      <c r="A71" s="60" t="str">
        <f t="shared" si="3"/>
        <v>Unitil</v>
      </c>
      <c r="B71" s="60"/>
      <c r="C71" s="60"/>
      <c r="D71" s="58" t="s">
        <v>24</v>
      </c>
      <c r="E71" s="58"/>
      <c r="F71" s="58" t="s">
        <v>26</v>
      </c>
      <c r="G71" s="58"/>
      <c r="H71" s="203"/>
      <c r="I71" s="186"/>
      <c r="J71" s="170"/>
      <c r="K71" s="170"/>
      <c r="L71" s="170"/>
      <c r="M71" s="170"/>
      <c r="N71" s="99"/>
      <c r="O71" s="99"/>
      <c r="P71" s="6"/>
      <c r="Q71" s="6"/>
    </row>
    <row r="72" spans="1:36" ht="30" customHeight="1" x14ac:dyDescent="0.3">
      <c r="A72" s="60" t="str">
        <f t="shared" si="3"/>
        <v>Unitil</v>
      </c>
      <c r="B72" s="60"/>
      <c r="C72" s="60"/>
      <c r="D72" s="58" t="s">
        <v>27</v>
      </c>
      <c r="E72" s="58"/>
      <c r="F72" s="58"/>
      <c r="G72" s="58"/>
      <c r="H72" s="203"/>
      <c r="I72" s="189"/>
      <c r="J72" s="170"/>
      <c r="K72" s="170"/>
      <c r="L72" s="170"/>
      <c r="M72" s="170"/>
      <c r="N72" s="71"/>
      <c r="O72" s="71"/>
    </row>
    <row r="73" spans="1:36" ht="30" customHeight="1" x14ac:dyDescent="0.3">
      <c r="A73" s="60" t="str">
        <f t="shared" si="3"/>
        <v>Unitil</v>
      </c>
      <c r="B73" s="60"/>
      <c r="C73" s="60"/>
      <c r="D73" s="58" t="s">
        <v>28</v>
      </c>
      <c r="E73" s="58"/>
      <c r="F73" s="58" t="s">
        <v>29</v>
      </c>
      <c r="G73" s="58"/>
      <c r="H73" s="203"/>
    </row>
    <row r="74" spans="1:36" ht="30" customHeight="1" thickBot="1" x14ac:dyDescent="0.35">
      <c r="A74" s="60" t="str">
        <f t="shared" si="3"/>
        <v>Unitil</v>
      </c>
      <c r="B74" s="61"/>
      <c r="C74" s="61"/>
      <c r="D74" s="209" t="s">
        <v>28</v>
      </c>
      <c r="E74" s="209"/>
      <c r="F74" s="209" t="s">
        <v>30</v>
      </c>
      <c r="G74" s="209"/>
      <c r="H74" s="210"/>
    </row>
    <row r="75" spans="1:36" ht="15" thickBot="1" x14ac:dyDescent="0.35">
      <c r="A75" s="236" t="s">
        <v>31</v>
      </c>
      <c r="B75" s="871"/>
      <c r="C75" s="872"/>
      <c r="D75" s="872"/>
      <c r="E75" s="872"/>
      <c r="F75" s="872"/>
      <c r="G75" s="872"/>
      <c r="H75" s="873"/>
    </row>
    <row r="77" spans="1:36" x14ac:dyDescent="0.3">
      <c r="A77" s="38" t="s">
        <v>32</v>
      </c>
      <c r="C77" s="62"/>
    </row>
    <row r="78" spans="1:36" x14ac:dyDescent="0.3">
      <c r="A78" s="194" t="s">
        <v>33</v>
      </c>
      <c r="B78" s="152"/>
      <c r="C78" s="217"/>
      <c r="D78" s="146"/>
      <c r="E78" s="146"/>
      <c r="F78" s="146"/>
      <c r="G78" s="146"/>
      <c r="H78" s="146"/>
    </row>
    <row r="79" spans="1:36" ht="15" customHeight="1" x14ac:dyDescent="0.3">
      <c r="A79" s="164" t="s">
        <v>34</v>
      </c>
      <c r="B79" s="341"/>
      <c r="C79" s="160"/>
      <c r="D79" s="160"/>
      <c r="E79" s="160"/>
      <c r="F79" s="160"/>
      <c r="G79" s="160"/>
      <c r="H79" s="160"/>
    </row>
    <row r="80" spans="1:36" ht="15" customHeight="1" x14ac:dyDescent="0.3">
      <c r="A80" s="164" t="s">
        <v>35</v>
      </c>
      <c r="B80" s="341"/>
      <c r="C80" s="160"/>
      <c r="D80" s="160"/>
      <c r="E80" s="160"/>
      <c r="F80" s="160"/>
      <c r="G80" s="160"/>
      <c r="H80" s="160"/>
    </row>
    <row r="81" spans="1:8" ht="15" customHeight="1" x14ac:dyDescent="0.3">
      <c r="A81" s="164" t="s">
        <v>36</v>
      </c>
      <c r="B81" s="341"/>
      <c r="C81" s="160"/>
      <c r="D81" s="160"/>
      <c r="E81" s="160"/>
      <c r="F81" s="160"/>
      <c r="G81" s="160"/>
      <c r="H81" s="160"/>
    </row>
    <row r="82" spans="1:8" ht="15" customHeight="1" x14ac:dyDescent="0.3">
      <c r="A82" s="167" t="s">
        <v>37</v>
      </c>
      <c r="B82" s="342"/>
      <c r="C82" s="171"/>
      <c r="D82" s="171"/>
      <c r="E82" s="171"/>
      <c r="F82" s="171"/>
      <c r="G82" s="171"/>
      <c r="H82" s="171"/>
    </row>
  </sheetData>
  <mergeCells count="9">
    <mergeCell ref="R6:U6"/>
    <mergeCell ref="W6:AA6"/>
    <mergeCell ref="AD6:AE6"/>
    <mergeCell ref="AF6:AG6"/>
    <mergeCell ref="B75:H75"/>
    <mergeCell ref="A6:H6"/>
    <mergeCell ref="B65:H65"/>
    <mergeCell ref="I6:M6"/>
    <mergeCell ref="N6:Q6"/>
  </mergeCells>
  <printOptions headings="1" gridLines="1"/>
  <pageMargins left="0.7" right="0.7" top="0.75" bottom="0.75" header="0.3" footer="0.3"/>
  <pageSetup scale="2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72"/>
  <sheetViews>
    <sheetView zoomScale="75" zoomScaleNormal="75" workbookViewId="0">
      <selection activeCell="S57" sqref="S57"/>
    </sheetView>
  </sheetViews>
  <sheetFormatPr defaultColWidth="9.109375" defaultRowHeight="14.4" x14ac:dyDescent="0.3"/>
  <cols>
    <col min="1" max="1" width="23.33203125" style="123" customWidth="1"/>
    <col min="2" max="3" width="15.6640625" style="57" customWidth="1"/>
    <col min="4" max="4" width="15.6640625" style="3" customWidth="1"/>
    <col min="5" max="6" width="22" style="3" bestFit="1" customWidth="1"/>
    <col min="7" max="7" width="21.6640625" style="3" bestFit="1" customWidth="1"/>
    <col min="8" max="8" width="24.109375" style="3" customWidth="1"/>
    <col min="9" max="9" width="10.6640625" style="123" customWidth="1"/>
    <col min="10" max="10" width="13.5546875" style="123" customWidth="1"/>
    <col min="11" max="11" width="12.5546875" style="123" customWidth="1"/>
    <col min="12" max="12" width="12" style="123" customWidth="1"/>
    <col min="13" max="15" width="10.6640625" style="123" customWidth="1"/>
    <col min="16" max="16" width="13" style="123" customWidth="1"/>
    <col min="17" max="17" width="10.6640625" style="123" customWidth="1"/>
    <col min="18" max="21" width="13.6640625" style="123" customWidth="1"/>
    <col min="22" max="22" width="19" style="123" customWidth="1"/>
    <col min="23" max="23" width="13.88671875" style="123" bestFit="1" customWidth="1"/>
    <col min="24" max="24" width="13.6640625" style="123" customWidth="1"/>
    <col min="25" max="25" width="18.109375" style="123" customWidth="1"/>
    <col min="26" max="26" width="13.6640625" style="123" customWidth="1"/>
    <col min="27" max="27" width="15.44140625" style="123" customWidth="1"/>
    <col min="28" max="28" width="14.44140625" style="123" customWidth="1"/>
    <col min="29" max="29" width="17" style="123" bestFit="1" customWidth="1"/>
    <col min="30" max="30" width="21.5546875" style="123" bestFit="1" customWidth="1"/>
    <col min="31" max="31" width="15.5546875" style="123" bestFit="1" customWidth="1"/>
    <col min="32" max="33" width="13.6640625" style="123" customWidth="1"/>
    <col min="34" max="34" width="15.5546875" style="123" customWidth="1"/>
    <col min="35" max="35" width="17.88671875" style="123" customWidth="1"/>
    <col min="36" max="36" width="23.88671875" style="123" customWidth="1"/>
  </cols>
  <sheetData>
    <row r="1" spans="1:36" x14ac:dyDescent="0.3">
      <c r="A1" s="1" t="s">
        <v>41</v>
      </c>
      <c r="B1" s="59" t="s">
        <v>42</v>
      </c>
      <c r="C1" s="59"/>
      <c r="D1" s="250" t="s">
        <v>2</v>
      </c>
      <c r="E1" s="250" t="str">
        <f>'1a. Incremental Deployment-2022'!E1</f>
        <v>Unitil</v>
      </c>
      <c r="F1" s="124"/>
      <c r="G1" s="123"/>
      <c r="H1" s="123"/>
    </row>
    <row r="2" spans="1:36" s="123" customFormat="1" x14ac:dyDescent="0.3">
      <c r="A2" s="1"/>
      <c r="B2" s="59"/>
      <c r="C2" s="59"/>
      <c r="D2" s="250" t="s">
        <v>43</v>
      </c>
      <c r="E2" s="265" t="s">
        <v>332</v>
      </c>
    </row>
    <row r="3" spans="1:36" x14ac:dyDescent="0.3">
      <c r="A3" s="2"/>
      <c r="B3" s="2"/>
      <c r="C3" s="2"/>
      <c r="D3" s="124"/>
      <c r="E3" s="123"/>
      <c r="F3" s="124"/>
      <c r="G3" s="123"/>
      <c r="H3" s="123"/>
    </row>
    <row r="4" spans="1:36" ht="15" customHeight="1" x14ac:dyDescent="0.3">
      <c r="A4" s="116" t="s">
        <v>44</v>
      </c>
      <c r="B4" s="124"/>
      <c r="C4" s="124"/>
      <c r="D4" s="124"/>
      <c r="E4" s="124"/>
      <c r="F4" s="124"/>
      <c r="G4" s="124"/>
      <c r="H4" s="124"/>
      <c r="I4" s="124"/>
      <c r="J4" s="124"/>
      <c r="K4" s="124"/>
      <c r="L4" s="124"/>
      <c r="M4" s="124"/>
      <c r="N4" s="124"/>
      <c r="O4" s="124"/>
      <c r="P4" s="124"/>
      <c r="Q4" s="124"/>
    </row>
    <row r="5" spans="1:36" ht="15" thickBot="1" x14ac:dyDescent="0.35">
      <c r="D5" s="124"/>
      <c r="E5" s="124"/>
      <c r="F5" s="124"/>
      <c r="G5" s="124"/>
      <c r="H5" s="124"/>
      <c r="I5" s="124"/>
    </row>
    <row r="6" spans="1:36" s="123" customFormat="1" ht="69.75" customHeight="1" thickBot="1" x14ac:dyDescent="0.35">
      <c r="A6" s="874" t="s">
        <v>6</v>
      </c>
      <c r="B6" s="875"/>
      <c r="C6" s="875"/>
      <c r="D6" s="875"/>
      <c r="E6" s="875"/>
      <c r="F6" s="875"/>
      <c r="G6" s="875"/>
      <c r="H6" s="876"/>
      <c r="I6" s="880" t="s">
        <v>343</v>
      </c>
      <c r="J6" s="881"/>
      <c r="K6" s="881"/>
      <c r="L6" s="881"/>
      <c r="M6" s="881"/>
      <c r="N6" s="882" t="s">
        <v>7</v>
      </c>
      <c r="O6" s="883"/>
      <c r="P6" s="883"/>
      <c r="Q6" s="884"/>
      <c r="R6" s="882" t="s">
        <v>8</v>
      </c>
      <c r="S6" s="883"/>
      <c r="T6" s="883"/>
      <c r="U6" s="885"/>
      <c r="V6" s="593" t="s">
        <v>9</v>
      </c>
      <c r="W6" s="877" t="s">
        <v>10</v>
      </c>
      <c r="X6" s="878"/>
      <c r="Y6" s="878"/>
      <c r="Z6" s="878"/>
      <c r="AA6" s="879"/>
      <c r="AB6" s="67" t="s">
        <v>11</v>
      </c>
      <c r="AC6" s="67" t="s">
        <v>335</v>
      </c>
      <c r="AD6" s="869" t="s">
        <v>336</v>
      </c>
      <c r="AE6" s="870"/>
      <c r="AF6" s="867" t="s">
        <v>342</v>
      </c>
      <c r="AG6" s="868"/>
      <c r="AH6" s="67" t="s">
        <v>341</v>
      </c>
      <c r="AI6" s="67" t="s">
        <v>362</v>
      </c>
      <c r="AJ6" s="67" t="s">
        <v>340</v>
      </c>
    </row>
    <row r="7" spans="1:36" s="123" customFormat="1" ht="36" x14ac:dyDescent="0.3">
      <c r="A7" s="64" t="s">
        <v>2</v>
      </c>
      <c r="B7" s="64" t="s">
        <v>12</v>
      </c>
      <c r="C7" s="64" t="s">
        <v>13</v>
      </c>
      <c r="D7" s="27" t="s">
        <v>14</v>
      </c>
      <c r="E7" s="27" t="s">
        <v>15</v>
      </c>
      <c r="F7" s="27" t="s">
        <v>16</v>
      </c>
      <c r="G7" s="27" t="s">
        <v>17</v>
      </c>
      <c r="H7" s="197" t="s">
        <v>18</v>
      </c>
      <c r="I7" s="28" t="s">
        <v>361</v>
      </c>
      <c r="J7" s="29" t="s">
        <v>356</v>
      </c>
      <c r="K7" s="29" t="s">
        <v>364</v>
      </c>
      <c r="L7" s="29" t="s">
        <v>365</v>
      </c>
      <c r="M7" s="29" t="s">
        <v>367</v>
      </c>
      <c r="N7" s="28" t="s">
        <v>368</v>
      </c>
      <c r="O7" s="31" t="s">
        <v>369</v>
      </c>
      <c r="P7" s="31" t="s">
        <v>367</v>
      </c>
      <c r="Q7" s="32" t="s">
        <v>382</v>
      </c>
      <c r="R7" s="28" t="s">
        <v>372</v>
      </c>
      <c r="S7" s="31" t="s">
        <v>373</v>
      </c>
      <c r="T7" s="30" t="s">
        <v>374</v>
      </c>
      <c r="U7" s="29" t="s">
        <v>375</v>
      </c>
      <c r="V7" s="33" t="s">
        <v>447</v>
      </c>
      <c r="W7" s="33" t="s">
        <v>10</v>
      </c>
      <c r="X7" s="31" t="s">
        <v>335</v>
      </c>
      <c r="Y7" s="31" t="s">
        <v>377</v>
      </c>
      <c r="Z7" s="31" t="s">
        <v>378</v>
      </c>
      <c r="AA7" s="34" t="s">
        <v>359</v>
      </c>
      <c r="AB7" s="68" t="s">
        <v>360</v>
      </c>
      <c r="AC7" s="68" t="s">
        <v>335</v>
      </c>
      <c r="AD7" s="33" t="s">
        <v>339</v>
      </c>
      <c r="AE7" s="34" t="s">
        <v>338</v>
      </c>
      <c r="AF7" s="31" t="s">
        <v>358</v>
      </c>
      <c r="AG7" s="34" t="s">
        <v>380</v>
      </c>
      <c r="AH7" s="68"/>
      <c r="AI7" s="68" t="s">
        <v>337</v>
      </c>
      <c r="AJ7" s="68"/>
    </row>
    <row r="8" spans="1:36" s="123" customFormat="1" ht="30" customHeight="1" x14ac:dyDescent="0.3">
      <c r="A8" s="60" t="str">
        <f t="shared" ref="A8:A64" si="0">$E$1</f>
        <v>Unitil</v>
      </c>
      <c r="B8" s="66" t="s">
        <v>383</v>
      </c>
      <c r="C8" s="66" t="s">
        <v>383</v>
      </c>
      <c r="D8" s="58" t="s">
        <v>384</v>
      </c>
      <c r="E8" s="58" t="s">
        <v>385</v>
      </c>
      <c r="F8" s="58" t="s">
        <v>386</v>
      </c>
      <c r="G8" s="58" t="s">
        <v>385</v>
      </c>
      <c r="H8" s="10" t="s">
        <v>387</v>
      </c>
      <c r="I8" s="58">
        <f>'1a. Incremental Deployment-2022'!I8+'1b. Incremental Deployment-2023'!I8+'1c. Incremental Deployment-2024'!I8+'1d. Incremental Deployment-2025'!I8</f>
        <v>0</v>
      </c>
      <c r="J8" s="58">
        <f>'1a. Incremental Deployment-2022'!J8+'1b. Incremental Deployment-2023'!J8+'1c. Incremental Deployment-2024'!J8+'1d. Incremental Deployment-2025'!J8</f>
        <v>0</v>
      </c>
      <c r="K8" s="66" t="s">
        <v>383</v>
      </c>
      <c r="L8" s="58" t="s">
        <v>383</v>
      </c>
      <c r="M8" s="58" t="s">
        <v>383</v>
      </c>
      <c r="N8" s="65" t="s">
        <v>383</v>
      </c>
      <c r="O8" s="58" t="s">
        <v>383</v>
      </c>
      <c r="P8" s="58" t="s">
        <v>383</v>
      </c>
      <c r="Q8" s="198" t="s">
        <v>383</v>
      </c>
      <c r="R8" s="65">
        <f>'1a. Incremental Deployment-2022'!R8+'1b. Incremental Deployment-2023'!R8+'1c. Incremental Deployment-2024'!R8+'1d. Incremental Deployment-2025'!R8</f>
        <v>0</v>
      </c>
      <c r="S8" s="58">
        <f>'1a. Incremental Deployment-2022'!S8+'1b. Incremental Deployment-2023'!S8+'1c. Incremental Deployment-2024'!S8+'1d. Incremental Deployment-2025'!S8</f>
        <v>0</v>
      </c>
      <c r="T8" s="58">
        <f>'1a. Incremental Deployment-2022'!T8+'1b. Incremental Deployment-2023'!T8+'1c. Incremental Deployment-2024'!T8+'1d. Incremental Deployment-2025'!T8</f>
        <v>0</v>
      </c>
      <c r="U8" s="203">
        <f>'1a. Incremental Deployment-2022'!U8+'1b. Incremental Deployment-2023'!U8+'1c. Incremental Deployment-2024'!U8+'1d. Incremental Deployment-2025'!U8</f>
        <v>0</v>
      </c>
      <c r="V8" s="65">
        <f>'1a. Incremental Deployment-2022'!V8+'1b. Incremental Deployment-2023'!V8+'1c. Incremental Deployment-2024'!V8+'1d. Incremental Deployment-2025'!V8</f>
        <v>0</v>
      </c>
      <c r="W8" s="65" t="s">
        <v>383</v>
      </c>
      <c r="X8" s="58" t="s">
        <v>383</v>
      </c>
      <c r="Y8" s="58" t="s">
        <v>383</v>
      </c>
      <c r="Z8" s="58" t="s">
        <v>383</v>
      </c>
      <c r="AA8" s="204">
        <f>'1a. Incremental Deployment-2022'!AA8+'1b. Incremental Deployment-2023'!AA8+'1c. Incremental Deployment-2024'!AA8+'1d. Incremental Deployment-2025'!AA8</f>
        <v>0</v>
      </c>
      <c r="AB8" s="69">
        <f>'1a. Incremental Deployment-2022'!AB8+'1b. Incremental Deployment-2023'!AB8+'1c. Incremental Deployment-2024'!AB8+'1d. Incremental Deployment-2025'!AB8</f>
        <v>0</v>
      </c>
      <c r="AC8" s="69" t="s">
        <v>383</v>
      </c>
      <c r="AD8" s="65" t="s">
        <v>383</v>
      </c>
      <c r="AE8" s="198" t="s">
        <v>383</v>
      </c>
      <c r="AF8" s="58">
        <f>'1a. Incremental Deployment-2022'!AF8+'1b. Incremental Deployment-2023'!AF8+'1c. Incremental Deployment-2024'!AF8+'1d. Incremental Deployment-2025'!AF8</f>
        <v>0</v>
      </c>
      <c r="AG8" s="204" t="s">
        <v>383</v>
      </c>
      <c r="AH8" s="69" t="s">
        <v>383</v>
      </c>
      <c r="AI8" s="69">
        <f>'1a. Incremental Deployment-2022'!AI8+'1b. Incremental Deployment-2023'!AI8+'1c. Incremental Deployment-2024'!AI8+'1d. Incremental Deployment-2025'!AI8</f>
        <v>0</v>
      </c>
      <c r="AJ8" s="69" t="s">
        <v>383</v>
      </c>
    </row>
    <row r="9" spans="1:36" s="123" customFormat="1" ht="30" customHeight="1" x14ac:dyDescent="0.3">
      <c r="A9" s="60" t="str">
        <f t="shared" si="0"/>
        <v>Unitil</v>
      </c>
      <c r="B9" s="66" t="s">
        <v>383</v>
      </c>
      <c r="C9" s="66" t="s">
        <v>383</v>
      </c>
      <c r="D9" s="58" t="s">
        <v>384</v>
      </c>
      <c r="E9" s="58" t="s">
        <v>385</v>
      </c>
      <c r="F9" s="58" t="s">
        <v>388</v>
      </c>
      <c r="G9" s="58" t="s">
        <v>385</v>
      </c>
      <c r="H9" s="10" t="s">
        <v>387</v>
      </c>
      <c r="I9" s="58">
        <f>'1a. Incremental Deployment-2022'!I9+'1b. Incremental Deployment-2023'!I9+'1c. Incremental Deployment-2024'!I9+'1d. Incremental Deployment-2025'!I9</f>
        <v>0</v>
      </c>
      <c r="J9" s="58">
        <f>'1a. Incremental Deployment-2022'!J9+'1b. Incremental Deployment-2023'!J9+'1c. Incremental Deployment-2024'!J9+'1d. Incremental Deployment-2025'!J9</f>
        <v>0</v>
      </c>
      <c r="K9" s="66" t="s">
        <v>383</v>
      </c>
      <c r="L9" s="58" t="s">
        <v>383</v>
      </c>
      <c r="M9" s="58" t="s">
        <v>383</v>
      </c>
      <c r="N9" s="65" t="s">
        <v>383</v>
      </c>
      <c r="O9" s="58" t="s">
        <v>383</v>
      </c>
      <c r="P9" s="58" t="s">
        <v>383</v>
      </c>
      <c r="Q9" s="198" t="s">
        <v>383</v>
      </c>
      <c r="R9" s="65">
        <f>'1a. Incremental Deployment-2022'!R9+'1b. Incremental Deployment-2023'!R9+'1c. Incremental Deployment-2024'!R9+'1d. Incremental Deployment-2025'!R9</f>
        <v>0</v>
      </c>
      <c r="S9" s="58">
        <f>'1a. Incremental Deployment-2022'!S9+'1b. Incremental Deployment-2023'!S9+'1c. Incremental Deployment-2024'!S9+'1d. Incremental Deployment-2025'!S9</f>
        <v>0</v>
      </c>
      <c r="T9" s="58">
        <f>'1a. Incremental Deployment-2022'!T9+'1b. Incremental Deployment-2023'!T9+'1c. Incremental Deployment-2024'!T9+'1d. Incremental Deployment-2025'!T9</f>
        <v>0</v>
      </c>
      <c r="U9" s="203">
        <f>'1a. Incremental Deployment-2022'!U9+'1b. Incremental Deployment-2023'!U9+'1c. Incremental Deployment-2024'!U9+'1d. Incremental Deployment-2025'!U9</f>
        <v>0</v>
      </c>
      <c r="V9" s="65">
        <f>'1a. Incremental Deployment-2022'!V9+'1b. Incremental Deployment-2023'!V9+'1c. Incremental Deployment-2024'!V9+'1d. Incremental Deployment-2025'!V9</f>
        <v>0</v>
      </c>
      <c r="W9" s="65" t="s">
        <v>383</v>
      </c>
      <c r="X9" s="58" t="s">
        <v>383</v>
      </c>
      <c r="Y9" s="58" t="s">
        <v>383</v>
      </c>
      <c r="Z9" s="58" t="s">
        <v>383</v>
      </c>
      <c r="AA9" s="204">
        <f>'1a. Incremental Deployment-2022'!AA9+'1b. Incremental Deployment-2023'!AA9+'1c. Incremental Deployment-2024'!AA9+'1d. Incremental Deployment-2025'!AA9</f>
        <v>0</v>
      </c>
      <c r="AB9" s="69">
        <f>'1a. Incremental Deployment-2022'!AB9+'1b. Incremental Deployment-2023'!AB9+'1c. Incremental Deployment-2024'!AB9+'1d. Incremental Deployment-2025'!AB9</f>
        <v>0</v>
      </c>
      <c r="AC9" s="69" t="s">
        <v>383</v>
      </c>
      <c r="AD9" s="65" t="s">
        <v>383</v>
      </c>
      <c r="AE9" s="198" t="s">
        <v>383</v>
      </c>
      <c r="AF9" s="58">
        <f>'1a. Incremental Deployment-2022'!AF9+'1b. Incremental Deployment-2023'!AF9+'1c. Incremental Deployment-2024'!AF9+'1d. Incremental Deployment-2025'!AF9</f>
        <v>0</v>
      </c>
      <c r="AG9" s="204" t="s">
        <v>383</v>
      </c>
      <c r="AH9" s="69" t="s">
        <v>383</v>
      </c>
      <c r="AI9" s="69">
        <f>'1a. Incremental Deployment-2022'!AI9+'1b. Incremental Deployment-2023'!AI9+'1c. Incremental Deployment-2024'!AI9+'1d. Incremental Deployment-2025'!AI9</f>
        <v>0</v>
      </c>
      <c r="AJ9" s="69" t="s">
        <v>383</v>
      </c>
    </row>
    <row r="10" spans="1:36" s="123" customFormat="1" ht="30" customHeight="1" x14ac:dyDescent="0.3">
      <c r="A10" s="60" t="str">
        <f t="shared" si="0"/>
        <v>Unitil</v>
      </c>
      <c r="B10" s="66" t="s">
        <v>383</v>
      </c>
      <c r="C10" s="66" t="s">
        <v>383</v>
      </c>
      <c r="D10" s="58" t="s">
        <v>384</v>
      </c>
      <c r="E10" s="58" t="s">
        <v>385</v>
      </c>
      <c r="F10" s="58" t="s">
        <v>389</v>
      </c>
      <c r="G10" s="58" t="s">
        <v>385</v>
      </c>
      <c r="H10" s="10" t="s">
        <v>387</v>
      </c>
      <c r="I10" s="58">
        <f>'1a. Incremental Deployment-2022'!I10+'1b. Incremental Deployment-2023'!I10+'1c. Incremental Deployment-2024'!I10+'1d. Incremental Deployment-2025'!I10</f>
        <v>0</v>
      </c>
      <c r="J10" s="58">
        <f>'1a. Incremental Deployment-2022'!J10+'1b. Incremental Deployment-2023'!J10+'1c. Incremental Deployment-2024'!J10+'1d. Incremental Deployment-2025'!J10</f>
        <v>0</v>
      </c>
      <c r="K10" s="66" t="s">
        <v>383</v>
      </c>
      <c r="L10" s="58" t="s">
        <v>383</v>
      </c>
      <c r="M10" s="58" t="s">
        <v>383</v>
      </c>
      <c r="N10" s="65" t="s">
        <v>383</v>
      </c>
      <c r="O10" s="58" t="s">
        <v>383</v>
      </c>
      <c r="P10" s="58" t="s">
        <v>383</v>
      </c>
      <c r="Q10" s="198" t="s">
        <v>383</v>
      </c>
      <c r="R10" s="65">
        <f>'1a. Incremental Deployment-2022'!R10+'1b. Incremental Deployment-2023'!R10+'1c. Incremental Deployment-2024'!R10+'1d. Incremental Deployment-2025'!R10</f>
        <v>0</v>
      </c>
      <c r="S10" s="58">
        <f>'1a. Incremental Deployment-2022'!S10+'1b. Incremental Deployment-2023'!S10+'1c. Incremental Deployment-2024'!S10+'1d. Incremental Deployment-2025'!S10</f>
        <v>0</v>
      </c>
      <c r="T10" s="58">
        <f>'1a. Incremental Deployment-2022'!T10+'1b. Incremental Deployment-2023'!T10+'1c. Incremental Deployment-2024'!T10+'1d. Incremental Deployment-2025'!T10</f>
        <v>0</v>
      </c>
      <c r="U10" s="203">
        <f>'1a. Incremental Deployment-2022'!U10+'1b. Incremental Deployment-2023'!U10+'1c. Incremental Deployment-2024'!U10+'1d. Incremental Deployment-2025'!U10</f>
        <v>0</v>
      </c>
      <c r="V10" s="65">
        <f>'1a. Incremental Deployment-2022'!V10+'1b. Incremental Deployment-2023'!V10+'1c. Incremental Deployment-2024'!V10+'1d. Incremental Deployment-2025'!V10</f>
        <v>0</v>
      </c>
      <c r="W10" s="65" t="s">
        <v>383</v>
      </c>
      <c r="X10" s="58" t="s">
        <v>383</v>
      </c>
      <c r="Y10" s="58" t="s">
        <v>383</v>
      </c>
      <c r="Z10" s="58" t="s">
        <v>383</v>
      </c>
      <c r="AA10" s="204">
        <f>'1a. Incremental Deployment-2022'!AA10+'1b. Incremental Deployment-2023'!AA10+'1c. Incremental Deployment-2024'!AA10+'1d. Incremental Deployment-2025'!AA10</f>
        <v>0</v>
      </c>
      <c r="AB10" s="69">
        <f>'1a. Incremental Deployment-2022'!AB10+'1b. Incremental Deployment-2023'!AB10+'1c. Incremental Deployment-2024'!AB10+'1d. Incremental Deployment-2025'!AB10</f>
        <v>0</v>
      </c>
      <c r="AC10" s="69" t="s">
        <v>383</v>
      </c>
      <c r="AD10" s="65" t="s">
        <v>383</v>
      </c>
      <c r="AE10" s="198" t="s">
        <v>383</v>
      </c>
      <c r="AF10" s="58">
        <f>'1a. Incremental Deployment-2022'!AF10+'1b. Incremental Deployment-2023'!AF10+'1c. Incremental Deployment-2024'!AF10+'1d. Incremental Deployment-2025'!AF10</f>
        <v>0</v>
      </c>
      <c r="AG10" s="204" t="s">
        <v>383</v>
      </c>
      <c r="AH10" s="69" t="s">
        <v>383</v>
      </c>
      <c r="AI10" s="69">
        <f>'1a. Incremental Deployment-2022'!AI10+'1b. Incremental Deployment-2023'!AI10+'1c. Incremental Deployment-2024'!AI10+'1d. Incremental Deployment-2025'!AI10</f>
        <v>0</v>
      </c>
      <c r="AJ10" s="69" t="s">
        <v>383</v>
      </c>
    </row>
    <row r="11" spans="1:36" s="123" customFormat="1" ht="30" customHeight="1" x14ac:dyDescent="0.3">
      <c r="A11" s="60" t="str">
        <f t="shared" si="0"/>
        <v>Unitil</v>
      </c>
      <c r="B11" s="66" t="s">
        <v>383</v>
      </c>
      <c r="C11" s="66" t="s">
        <v>383</v>
      </c>
      <c r="D11" s="58" t="s">
        <v>384</v>
      </c>
      <c r="E11" s="58" t="s">
        <v>385</v>
      </c>
      <c r="F11" s="58" t="s">
        <v>390</v>
      </c>
      <c r="G11" s="58" t="s">
        <v>385</v>
      </c>
      <c r="H11" s="10" t="s">
        <v>387</v>
      </c>
      <c r="I11" s="58">
        <f>'1a. Incremental Deployment-2022'!I11+'1b. Incremental Deployment-2023'!I11+'1c. Incremental Deployment-2024'!I11+'1d. Incremental Deployment-2025'!I11</f>
        <v>0</v>
      </c>
      <c r="J11" s="58">
        <f>'1a. Incremental Deployment-2022'!J11+'1b. Incremental Deployment-2023'!J11+'1c. Incremental Deployment-2024'!J11+'1d. Incremental Deployment-2025'!J11</f>
        <v>0</v>
      </c>
      <c r="K11" s="66" t="s">
        <v>383</v>
      </c>
      <c r="L11" s="58" t="s">
        <v>383</v>
      </c>
      <c r="M11" s="58" t="s">
        <v>383</v>
      </c>
      <c r="N11" s="65" t="s">
        <v>383</v>
      </c>
      <c r="O11" s="58" t="s">
        <v>383</v>
      </c>
      <c r="P11" s="58" t="s">
        <v>383</v>
      </c>
      <c r="Q11" s="198" t="s">
        <v>383</v>
      </c>
      <c r="R11" s="65">
        <f>'1a. Incremental Deployment-2022'!R11+'1b. Incremental Deployment-2023'!R11+'1c. Incremental Deployment-2024'!R11+'1d. Incremental Deployment-2025'!R11</f>
        <v>0</v>
      </c>
      <c r="S11" s="58">
        <f>'1a. Incremental Deployment-2022'!S11+'1b. Incremental Deployment-2023'!S11+'1c. Incremental Deployment-2024'!S11+'1d. Incremental Deployment-2025'!S11</f>
        <v>0</v>
      </c>
      <c r="T11" s="58">
        <f>'1a. Incremental Deployment-2022'!T11+'1b. Incremental Deployment-2023'!T11+'1c. Incremental Deployment-2024'!T11+'1d. Incremental Deployment-2025'!T11</f>
        <v>0</v>
      </c>
      <c r="U11" s="203">
        <f>'1a. Incremental Deployment-2022'!U11+'1b. Incremental Deployment-2023'!U11+'1c. Incremental Deployment-2024'!U11+'1d. Incremental Deployment-2025'!U11</f>
        <v>0</v>
      </c>
      <c r="V11" s="65">
        <f>'1a. Incremental Deployment-2022'!V11+'1b. Incremental Deployment-2023'!V11+'1c. Incremental Deployment-2024'!V11+'1d. Incremental Deployment-2025'!V11</f>
        <v>0</v>
      </c>
      <c r="W11" s="65" t="s">
        <v>383</v>
      </c>
      <c r="X11" s="58" t="s">
        <v>383</v>
      </c>
      <c r="Y11" s="58" t="s">
        <v>383</v>
      </c>
      <c r="Z11" s="58" t="s">
        <v>383</v>
      </c>
      <c r="AA11" s="204">
        <f>'1a. Incremental Deployment-2022'!AA11+'1b. Incremental Deployment-2023'!AA11+'1c. Incremental Deployment-2024'!AA11+'1d. Incremental Deployment-2025'!AA11</f>
        <v>0</v>
      </c>
      <c r="AB11" s="69">
        <f>'1a. Incremental Deployment-2022'!AB11+'1b. Incremental Deployment-2023'!AB11+'1c. Incremental Deployment-2024'!AB11+'1d. Incremental Deployment-2025'!AB11</f>
        <v>0</v>
      </c>
      <c r="AC11" s="69" t="s">
        <v>383</v>
      </c>
      <c r="AD11" s="65" t="s">
        <v>383</v>
      </c>
      <c r="AE11" s="198" t="s">
        <v>383</v>
      </c>
      <c r="AF11" s="58">
        <f>'1a. Incremental Deployment-2022'!AF11+'1b. Incremental Deployment-2023'!AF11+'1c. Incremental Deployment-2024'!AF11+'1d. Incremental Deployment-2025'!AF11</f>
        <v>0</v>
      </c>
      <c r="AG11" s="204" t="s">
        <v>383</v>
      </c>
      <c r="AH11" s="69" t="s">
        <v>383</v>
      </c>
      <c r="AI11" s="69">
        <f>'1a. Incremental Deployment-2022'!AI11+'1b. Incremental Deployment-2023'!AI11+'1c. Incremental Deployment-2024'!AI11+'1d. Incremental Deployment-2025'!AI11</f>
        <v>0</v>
      </c>
      <c r="AJ11" s="69" t="s">
        <v>383</v>
      </c>
    </row>
    <row r="12" spans="1:36" s="123" customFormat="1" ht="30" customHeight="1" x14ac:dyDescent="0.3">
      <c r="A12" s="60" t="str">
        <f>$E$1</f>
        <v>Unitil</v>
      </c>
      <c r="B12" s="66" t="s">
        <v>383</v>
      </c>
      <c r="C12" s="66" t="s">
        <v>383</v>
      </c>
      <c r="D12" s="58" t="s">
        <v>384</v>
      </c>
      <c r="E12" s="58" t="s">
        <v>385</v>
      </c>
      <c r="F12" s="496"/>
      <c r="G12" s="496"/>
      <c r="H12" s="497"/>
      <c r="I12" s="58">
        <f>'1a. Incremental Deployment-2022'!I12+'1b. Incremental Deployment-2023'!I12+'1c. Incremental Deployment-2024'!I12+'1d. Incremental Deployment-2025'!I12</f>
        <v>0</v>
      </c>
      <c r="J12" s="58">
        <f>'1a. Incremental Deployment-2022'!J12+'1b. Incremental Deployment-2023'!J12+'1c. Incremental Deployment-2024'!J12+'1d. Incremental Deployment-2025'!J12</f>
        <v>0</v>
      </c>
      <c r="K12" s="66" t="s">
        <v>383</v>
      </c>
      <c r="L12" s="58" t="s">
        <v>383</v>
      </c>
      <c r="M12" s="58" t="s">
        <v>383</v>
      </c>
      <c r="N12" s="65" t="s">
        <v>383</v>
      </c>
      <c r="O12" s="58" t="s">
        <v>383</v>
      </c>
      <c r="P12" s="58" t="s">
        <v>383</v>
      </c>
      <c r="Q12" s="198" t="s">
        <v>383</v>
      </c>
      <c r="R12" s="65">
        <f>'1a. Incremental Deployment-2022'!R12+'1b. Incremental Deployment-2023'!R12+'1c. Incremental Deployment-2024'!R12+'1d. Incremental Deployment-2025'!R12</f>
        <v>0</v>
      </c>
      <c r="S12" s="58">
        <f>'1a. Incremental Deployment-2022'!S12+'1b. Incremental Deployment-2023'!S12+'1c. Incremental Deployment-2024'!S12+'1d. Incremental Deployment-2025'!S12</f>
        <v>0</v>
      </c>
      <c r="T12" s="58">
        <f>'1a. Incremental Deployment-2022'!T12+'1b. Incremental Deployment-2023'!T12+'1c. Incremental Deployment-2024'!T12+'1d. Incremental Deployment-2025'!T12</f>
        <v>0</v>
      </c>
      <c r="U12" s="203">
        <f>'1a. Incremental Deployment-2022'!U12+'1b. Incremental Deployment-2023'!U12+'1c. Incremental Deployment-2024'!U12+'1d. Incremental Deployment-2025'!U12</f>
        <v>0</v>
      </c>
      <c r="V12" s="65">
        <f>'1a. Incremental Deployment-2022'!V12+'1b. Incremental Deployment-2023'!V12+'1c. Incremental Deployment-2024'!V12+'1d. Incremental Deployment-2025'!V12</f>
        <v>0</v>
      </c>
      <c r="W12" s="65" t="s">
        <v>383</v>
      </c>
      <c r="X12" s="58" t="s">
        <v>383</v>
      </c>
      <c r="Y12" s="58" t="s">
        <v>383</v>
      </c>
      <c r="Z12" s="58" t="s">
        <v>383</v>
      </c>
      <c r="AA12" s="204">
        <f>'1a. Incremental Deployment-2022'!AA12+'1b. Incremental Deployment-2023'!AA12+'1c. Incremental Deployment-2024'!AA12+'1d. Incremental Deployment-2025'!AA12</f>
        <v>0</v>
      </c>
      <c r="AB12" s="69">
        <f>'1a. Incremental Deployment-2022'!AB12+'1b. Incremental Deployment-2023'!AB12+'1c. Incremental Deployment-2024'!AB12+'1d. Incremental Deployment-2025'!AB12</f>
        <v>0</v>
      </c>
      <c r="AC12" s="69" t="s">
        <v>383</v>
      </c>
      <c r="AD12" s="65" t="s">
        <v>383</v>
      </c>
      <c r="AE12" s="198" t="s">
        <v>383</v>
      </c>
      <c r="AF12" s="58">
        <f>'1a. Incremental Deployment-2022'!AF12+'1b. Incremental Deployment-2023'!AF12+'1c. Incremental Deployment-2024'!AF12+'1d. Incremental Deployment-2025'!AF12</f>
        <v>0</v>
      </c>
      <c r="AG12" s="204" t="s">
        <v>383</v>
      </c>
      <c r="AH12" s="69" t="s">
        <v>383</v>
      </c>
      <c r="AI12" s="69">
        <f>'1a. Incremental Deployment-2022'!AI12+'1b. Incremental Deployment-2023'!AI12+'1c. Incremental Deployment-2024'!AI12+'1d. Incremental Deployment-2025'!AI12</f>
        <v>0</v>
      </c>
      <c r="AJ12" s="69" t="s">
        <v>383</v>
      </c>
    </row>
    <row r="13" spans="1:36" s="123" customFormat="1" ht="30" customHeight="1" x14ac:dyDescent="0.3">
      <c r="A13" s="60" t="str">
        <f t="shared" si="0"/>
        <v>Unitil</v>
      </c>
      <c r="B13" s="66" t="s">
        <v>383</v>
      </c>
      <c r="C13" s="66" t="s">
        <v>383</v>
      </c>
      <c r="D13" s="58" t="s">
        <v>391</v>
      </c>
      <c r="E13" s="58" t="s">
        <v>385</v>
      </c>
      <c r="F13" s="58" t="s">
        <v>392</v>
      </c>
      <c r="G13" s="58" t="s">
        <v>385</v>
      </c>
      <c r="H13" s="10" t="s">
        <v>387</v>
      </c>
      <c r="I13" s="58">
        <f>'1a. Incremental Deployment-2022'!I13+'1b. Incremental Deployment-2023'!I13+'1c. Incremental Deployment-2024'!I13+'1d. Incremental Deployment-2025'!I13</f>
        <v>0</v>
      </c>
      <c r="J13" s="58">
        <f>'1a. Incremental Deployment-2022'!J13+'1b. Incremental Deployment-2023'!J13+'1c. Incremental Deployment-2024'!J13+'1d. Incremental Deployment-2025'!J13</f>
        <v>0</v>
      </c>
      <c r="K13" s="66" t="s">
        <v>383</v>
      </c>
      <c r="L13" s="58" t="s">
        <v>383</v>
      </c>
      <c r="M13" s="58" t="s">
        <v>383</v>
      </c>
      <c r="N13" s="65" t="s">
        <v>383</v>
      </c>
      <c r="O13" s="58" t="s">
        <v>383</v>
      </c>
      <c r="P13" s="58" t="s">
        <v>383</v>
      </c>
      <c r="Q13" s="198" t="s">
        <v>383</v>
      </c>
      <c r="R13" s="65">
        <f>'1a. Incremental Deployment-2022'!R13+'1b. Incremental Deployment-2023'!R13+'1c. Incremental Deployment-2024'!R13+'1d. Incremental Deployment-2025'!R13</f>
        <v>0</v>
      </c>
      <c r="S13" s="58">
        <f>'1a. Incremental Deployment-2022'!S13+'1b. Incremental Deployment-2023'!S13+'1c. Incremental Deployment-2024'!S13+'1d. Incremental Deployment-2025'!S13</f>
        <v>0</v>
      </c>
      <c r="T13" s="58">
        <f>'1a. Incremental Deployment-2022'!T13+'1b. Incremental Deployment-2023'!T13+'1c. Incremental Deployment-2024'!T13+'1d. Incremental Deployment-2025'!T13</f>
        <v>0</v>
      </c>
      <c r="U13" s="203">
        <f>'1a. Incremental Deployment-2022'!U13+'1b. Incremental Deployment-2023'!U13+'1c. Incremental Deployment-2024'!U13+'1d. Incremental Deployment-2025'!U13</f>
        <v>0</v>
      </c>
      <c r="V13" s="65">
        <f>'1a. Incremental Deployment-2022'!V13+'1b. Incremental Deployment-2023'!V13+'1c. Incremental Deployment-2024'!V13+'1d. Incremental Deployment-2025'!V13</f>
        <v>0</v>
      </c>
      <c r="W13" s="65" t="s">
        <v>383</v>
      </c>
      <c r="X13" s="58" t="s">
        <v>383</v>
      </c>
      <c r="Y13" s="58" t="s">
        <v>383</v>
      </c>
      <c r="Z13" s="58" t="s">
        <v>383</v>
      </c>
      <c r="AA13" s="204">
        <f>'1a. Incremental Deployment-2022'!AA13+'1b. Incremental Deployment-2023'!AA13+'1c. Incremental Deployment-2024'!AA13+'1d. Incremental Deployment-2025'!AA13</f>
        <v>0</v>
      </c>
      <c r="AB13" s="69">
        <f>'1a. Incremental Deployment-2022'!AB13+'1b. Incremental Deployment-2023'!AB13+'1c. Incremental Deployment-2024'!AB13+'1d. Incremental Deployment-2025'!AB13</f>
        <v>0</v>
      </c>
      <c r="AC13" s="69" t="s">
        <v>383</v>
      </c>
      <c r="AD13" s="65" t="s">
        <v>383</v>
      </c>
      <c r="AE13" s="198" t="s">
        <v>383</v>
      </c>
      <c r="AF13" s="58">
        <f>'1a. Incremental Deployment-2022'!AF13+'1b. Incremental Deployment-2023'!AF13+'1c. Incremental Deployment-2024'!AF13+'1d. Incremental Deployment-2025'!AF13</f>
        <v>0</v>
      </c>
      <c r="AG13" s="204" t="s">
        <v>383</v>
      </c>
      <c r="AH13" s="69" t="s">
        <v>383</v>
      </c>
      <c r="AI13" s="69">
        <f>'1a. Incremental Deployment-2022'!AI13+'1b. Incremental Deployment-2023'!AI13+'1c. Incremental Deployment-2024'!AI13+'1d. Incremental Deployment-2025'!AI13</f>
        <v>0</v>
      </c>
      <c r="AJ13" s="69" t="s">
        <v>383</v>
      </c>
    </row>
    <row r="14" spans="1:36" s="123" customFormat="1" ht="30" customHeight="1" x14ac:dyDescent="0.3">
      <c r="A14" s="60" t="str">
        <f t="shared" si="0"/>
        <v>Unitil</v>
      </c>
      <c r="B14" s="66" t="s">
        <v>383</v>
      </c>
      <c r="C14" s="66" t="s">
        <v>383</v>
      </c>
      <c r="D14" s="58" t="s">
        <v>391</v>
      </c>
      <c r="E14" s="58" t="s">
        <v>385</v>
      </c>
      <c r="F14" s="58" t="s">
        <v>393</v>
      </c>
      <c r="G14" s="58" t="s">
        <v>385</v>
      </c>
      <c r="H14" s="10" t="s">
        <v>387</v>
      </c>
      <c r="I14" s="58">
        <f>'1a. Incremental Deployment-2022'!I14+'1b. Incremental Deployment-2023'!I14+'1c. Incremental Deployment-2024'!I14+'1d. Incremental Deployment-2025'!I14</f>
        <v>0</v>
      </c>
      <c r="J14" s="58">
        <f>'1a. Incremental Deployment-2022'!J14+'1b. Incremental Deployment-2023'!J14+'1c. Incremental Deployment-2024'!J14+'1d. Incremental Deployment-2025'!J14</f>
        <v>0</v>
      </c>
      <c r="K14" s="66" t="s">
        <v>383</v>
      </c>
      <c r="L14" s="58" t="s">
        <v>383</v>
      </c>
      <c r="M14" s="58" t="s">
        <v>383</v>
      </c>
      <c r="N14" s="65" t="s">
        <v>383</v>
      </c>
      <c r="O14" s="58" t="s">
        <v>383</v>
      </c>
      <c r="P14" s="58" t="s">
        <v>383</v>
      </c>
      <c r="Q14" s="198" t="s">
        <v>383</v>
      </c>
      <c r="R14" s="65">
        <f>'1a. Incremental Deployment-2022'!R14+'1b. Incremental Deployment-2023'!R14+'1c. Incremental Deployment-2024'!R14+'1d. Incremental Deployment-2025'!R14</f>
        <v>0</v>
      </c>
      <c r="S14" s="58">
        <f>'1a. Incremental Deployment-2022'!S14+'1b. Incremental Deployment-2023'!S14+'1c. Incremental Deployment-2024'!S14+'1d. Incremental Deployment-2025'!S14</f>
        <v>0</v>
      </c>
      <c r="T14" s="58">
        <f>'1a. Incremental Deployment-2022'!T14+'1b. Incremental Deployment-2023'!T14+'1c. Incremental Deployment-2024'!T14+'1d. Incremental Deployment-2025'!T14</f>
        <v>0</v>
      </c>
      <c r="U14" s="203">
        <f>'1a. Incremental Deployment-2022'!U14+'1b. Incremental Deployment-2023'!U14+'1c. Incremental Deployment-2024'!U14+'1d. Incremental Deployment-2025'!U14</f>
        <v>0</v>
      </c>
      <c r="V14" s="65">
        <f>'1a. Incremental Deployment-2022'!V14+'1b. Incremental Deployment-2023'!V14+'1c. Incremental Deployment-2024'!V14+'1d. Incremental Deployment-2025'!V14</f>
        <v>0</v>
      </c>
      <c r="W14" s="65" t="s">
        <v>383</v>
      </c>
      <c r="X14" s="58" t="s">
        <v>383</v>
      </c>
      <c r="Y14" s="58" t="s">
        <v>383</v>
      </c>
      <c r="Z14" s="58" t="s">
        <v>383</v>
      </c>
      <c r="AA14" s="204">
        <f>'1a. Incremental Deployment-2022'!AA14+'1b. Incremental Deployment-2023'!AA14+'1c. Incremental Deployment-2024'!AA14+'1d. Incremental Deployment-2025'!AA14</f>
        <v>0</v>
      </c>
      <c r="AB14" s="69">
        <f>'1a. Incremental Deployment-2022'!AB14+'1b. Incremental Deployment-2023'!AB14+'1c. Incremental Deployment-2024'!AB14+'1d. Incremental Deployment-2025'!AB14</f>
        <v>0</v>
      </c>
      <c r="AC14" s="69" t="s">
        <v>383</v>
      </c>
      <c r="AD14" s="65" t="s">
        <v>383</v>
      </c>
      <c r="AE14" s="198" t="s">
        <v>383</v>
      </c>
      <c r="AF14" s="58">
        <f>'1a. Incremental Deployment-2022'!AF14+'1b. Incremental Deployment-2023'!AF14+'1c. Incremental Deployment-2024'!AF14+'1d. Incremental Deployment-2025'!AF14</f>
        <v>0</v>
      </c>
      <c r="AG14" s="204" t="s">
        <v>383</v>
      </c>
      <c r="AH14" s="69" t="s">
        <v>383</v>
      </c>
      <c r="AI14" s="69">
        <f>'1a. Incremental Deployment-2022'!AI14+'1b. Incremental Deployment-2023'!AI14+'1c. Incremental Deployment-2024'!AI14+'1d. Incremental Deployment-2025'!AI14</f>
        <v>0</v>
      </c>
      <c r="AJ14" s="69" t="s">
        <v>383</v>
      </c>
    </row>
    <row r="15" spans="1:36" s="123" customFormat="1" ht="30" customHeight="1" x14ac:dyDescent="0.3">
      <c r="A15" s="60" t="str">
        <f t="shared" si="0"/>
        <v>Unitil</v>
      </c>
      <c r="B15" s="66" t="s">
        <v>383</v>
      </c>
      <c r="C15" s="66" t="s">
        <v>383</v>
      </c>
      <c r="D15" s="58" t="s">
        <v>391</v>
      </c>
      <c r="E15" s="58" t="s">
        <v>385</v>
      </c>
      <c r="F15" s="58" t="s">
        <v>394</v>
      </c>
      <c r="G15" s="58" t="s">
        <v>385</v>
      </c>
      <c r="H15" s="10" t="s">
        <v>387</v>
      </c>
      <c r="I15" s="58">
        <f>'1a. Incremental Deployment-2022'!I15+'1b. Incremental Deployment-2023'!I15+'1c. Incremental Deployment-2024'!I15+'1d. Incremental Deployment-2025'!I15</f>
        <v>0</v>
      </c>
      <c r="J15" s="58">
        <f>'1a. Incremental Deployment-2022'!J15+'1b. Incremental Deployment-2023'!J15+'1c. Incremental Deployment-2024'!J15+'1d. Incremental Deployment-2025'!J15</f>
        <v>0</v>
      </c>
      <c r="K15" s="66" t="s">
        <v>383</v>
      </c>
      <c r="L15" s="58" t="s">
        <v>383</v>
      </c>
      <c r="M15" s="58" t="s">
        <v>383</v>
      </c>
      <c r="N15" s="65" t="s">
        <v>383</v>
      </c>
      <c r="O15" s="58" t="s">
        <v>383</v>
      </c>
      <c r="P15" s="58" t="s">
        <v>383</v>
      </c>
      <c r="Q15" s="198" t="s">
        <v>383</v>
      </c>
      <c r="R15" s="65">
        <f>'1a. Incremental Deployment-2022'!R15+'1b. Incremental Deployment-2023'!R15+'1c. Incremental Deployment-2024'!R15+'1d. Incremental Deployment-2025'!R15</f>
        <v>0</v>
      </c>
      <c r="S15" s="58">
        <f>'1a. Incremental Deployment-2022'!S15+'1b. Incremental Deployment-2023'!S15+'1c. Incremental Deployment-2024'!S15+'1d. Incremental Deployment-2025'!S15</f>
        <v>0</v>
      </c>
      <c r="T15" s="58">
        <f>'1a. Incremental Deployment-2022'!T15+'1b. Incremental Deployment-2023'!T15+'1c. Incremental Deployment-2024'!T15+'1d. Incremental Deployment-2025'!T15</f>
        <v>0</v>
      </c>
      <c r="U15" s="203">
        <f>'1a. Incremental Deployment-2022'!U15+'1b. Incremental Deployment-2023'!U15+'1c. Incremental Deployment-2024'!U15+'1d. Incremental Deployment-2025'!U15</f>
        <v>0</v>
      </c>
      <c r="V15" s="65">
        <f>'1a. Incremental Deployment-2022'!V15+'1b. Incremental Deployment-2023'!V15+'1c. Incremental Deployment-2024'!V15+'1d. Incremental Deployment-2025'!V15</f>
        <v>0</v>
      </c>
      <c r="W15" s="65" t="s">
        <v>383</v>
      </c>
      <c r="X15" s="58" t="s">
        <v>383</v>
      </c>
      <c r="Y15" s="58" t="s">
        <v>383</v>
      </c>
      <c r="Z15" s="58" t="s">
        <v>383</v>
      </c>
      <c r="AA15" s="204">
        <f>'1a. Incremental Deployment-2022'!AA15+'1b. Incremental Deployment-2023'!AA15+'1c. Incremental Deployment-2024'!AA15+'1d. Incremental Deployment-2025'!AA15</f>
        <v>0</v>
      </c>
      <c r="AB15" s="69">
        <f>'1a. Incremental Deployment-2022'!AB15+'1b. Incremental Deployment-2023'!AB15+'1c. Incremental Deployment-2024'!AB15+'1d. Incremental Deployment-2025'!AB15</f>
        <v>0</v>
      </c>
      <c r="AC15" s="69" t="s">
        <v>383</v>
      </c>
      <c r="AD15" s="65" t="s">
        <v>383</v>
      </c>
      <c r="AE15" s="198" t="s">
        <v>383</v>
      </c>
      <c r="AF15" s="58">
        <f>'1a. Incremental Deployment-2022'!AF15+'1b. Incremental Deployment-2023'!AF15+'1c. Incremental Deployment-2024'!AF15+'1d. Incremental Deployment-2025'!AF15</f>
        <v>0</v>
      </c>
      <c r="AG15" s="204" t="s">
        <v>383</v>
      </c>
      <c r="AH15" s="69" t="s">
        <v>383</v>
      </c>
      <c r="AI15" s="69">
        <f>'1a. Incremental Deployment-2022'!AI15+'1b. Incremental Deployment-2023'!AI15+'1c. Incremental Deployment-2024'!AI15+'1d. Incremental Deployment-2025'!AI15</f>
        <v>0</v>
      </c>
      <c r="AJ15" s="69" t="s">
        <v>383</v>
      </c>
    </row>
    <row r="16" spans="1:36" s="123" customFormat="1" ht="30" customHeight="1" x14ac:dyDescent="0.3">
      <c r="A16" s="60" t="str">
        <f t="shared" si="0"/>
        <v>Unitil</v>
      </c>
      <c r="B16" s="66" t="s">
        <v>383</v>
      </c>
      <c r="C16" s="66" t="s">
        <v>383</v>
      </c>
      <c r="D16" s="58" t="s">
        <v>391</v>
      </c>
      <c r="E16" s="58" t="s">
        <v>385</v>
      </c>
      <c r="F16" s="496"/>
      <c r="G16" s="496"/>
      <c r="H16" s="497"/>
      <c r="I16" s="58">
        <f>'1a. Incremental Deployment-2022'!I16+'1b. Incremental Deployment-2023'!I16+'1c. Incremental Deployment-2024'!I16+'1d. Incremental Deployment-2025'!I16</f>
        <v>0</v>
      </c>
      <c r="J16" s="58">
        <f>'1a. Incremental Deployment-2022'!J16+'1b. Incremental Deployment-2023'!J16+'1c. Incremental Deployment-2024'!J16+'1d. Incremental Deployment-2025'!J16</f>
        <v>0</v>
      </c>
      <c r="K16" s="66" t="s">
        <v>383</v>
      </c>
      <c r="L16" s="58" t="s">
        <v>383</v>
      </c>
      <c r="M16" s="58" t="s">
        <v>383</v>
      </c>
      <c r="N16" s="65" t="s">
        <v>383</v>
      </c>
      <c r="O16" s="58" t="s">
        <v>383</v>
      </c>
      <c r="P16" s="58" t="s">
        <v>383</v>
      </c>
      <c r="Q16" s="198" t="s">
        <v>383</v>
      </c>
      <c r="R16" s="65">
        <f>'1a. Incremental Deployment-2022'!R16+'1b. Incremental Deployment-2023'!R16+'1c. Incremental Deployment-2024'!R16+'1d. Incremental Deployment-2025'!R16</f>
        <v>0</v>
      </c>
      <c r="S16" s="58">
        <f>'1a. Incremental Deployment-2022'!S16+'1b. Incremental Deployment-2023'!S16+'1c. Incremental Deployment-2024'!S16+'1d. Incremental Deployment-2025'!S16</f>
        <v>0</v>
      </c>
      <c r="T16" s="58">
        <f>'1a. Incremental Deployment-2022'!T16+'1b. Incremental Deployment-2023'!T16+'1c. Incremental Deployment-2024'!T16+'1d. Incremental Deployment-2025'!T16</f>
        <v>0</v>
      </c>
      <c r="U16" s="203">
        <f>'1a. Incremental Deployment-2022'!U16+'1b. Incremental Deployment-2023'!U16+'1c. Incremental Deployment-2024'!U16+'1d. Incremental Deployment-2025'!U16</f>
        <v>0</v>
      </c>
      <c r="V16" s="65">
        <f>'1a. Incremental Deployment-2022'!V16+'1b. Incremental Deployment-2023'!V16+'1c. Incremental Deployment-2024'!V16+'1d. Incremental Deployment-2025'!V16</f>
        <v>0</v>
      </c>
      <c r="W16" s="65" t="s">
        <v>383</v>
      </c>
      <c r="X16" s="58" t="s">
        <v>383</v>
      </c>
      <c r="Y16" s="58" t="s">
        <v>383</v>
      </c>
      <c r="Z16" s="58" t="s">
        <v>383</v>
      </c>
      <c r="AA16" s="204">
        <f>'1a. Incremental Deployment-2022'!AA16+'1b. Incremental Deployment-2023'!AA16+'1c. Incremental Deployment-2024'!AA16+'1d. Incremental Deployment-2025'!AA16</f>
        <v>0</v>
      </c>
      <c r="AB16" s="69">
        <f>'1a. Incremental Deployment-2022'!AB16+'1b. Incremental Deployment-2023'!AB16+'1c. Incremental Deployment-2024'!AB16+'1d. Incremental Deployment-2025'!AB16</f>
        <v>0</v>
      </c>
      <c r="AC16" s="69" t="s">
        <v>383</v>
      </c>
      <c r="AD16" s="65" t="s">
        <v>383</v>
      </c>
      <c r="AE16" s="198" t="s">
        <v>383</v>
      </c>
      <c r="AF16" s="58">
        <f>'1a. Incremental Deployment-2022'!AF16+'1b. Incremental Deployment-2023'!AF16+'1c. Incremental Deployment-2024'!AF16+'1d. Incremental Deployment-2025'!AF16</f>
        <v>0</v>
      </c>
      <c r="AG16" s="204" t="s">
        <v>383</v>
      </c>
      <c r="AH16" s="69" t="s">
        <v>383</v>
      </c>
      <c r="AI16" s="69">
        <f>'1a. Incremental Deployment-2022'!AI16+'1b. Incremental Deployment-2023'!AI16+'1c. Incremental Deployment-2024'!AI16+'1d. Incremental Deployment-2025'!AI16</f>
        <v>0</v>
      </c>
      <c r="AJ16" s="69" t="s">
        <v>383</v>
      </c>
    </row>
    <row r="17" spans="1:36" s="123" customFormat="1" ht="30" customHeight="1" x14ac:dyDescent="0.3">
      <c r="A17" s="60" t="str">
        <f t="shared" si="0"/>
        <v>Unitil</v>
      </c>
      <c r="B17" s="66" t="s">
        <v>383</v>
      </c>
      <c r="C17" s="66" t="s">
        <v>383</v>
      </c>
      <c r="D17" s="58" t="s">
        <v>395</v>
      </c>
      <c r="E17" s="58" t="s">
        <v>395</v>
      </c>
      <c r="F17" s="58" t="s">
        <v>396</v>
      </c>
      <c r="G17" s="58" t="s">
        <v>395</v>
      </c>
      <c r="H17" s="10" t="s">
        <v>387</v>
      </c>
      <c r="I17" s="58">
        <f>'1a. Incremental Deployment-2022'!I17+'1b. Incremental Deployment-2023'!I17+'1c. Incremental Deployment-2024'!I17+'1d. Incremental Deployment-2025'!I17</f>
        <v>0</v>
      </c>
      <c r="J17" s="58">
        <f>'1a. Incremental Deployment-2022'!J17+'1b. Incremental Deployment-2023'!J17+'1c. Incremental Deployment-2024'!J17+'1d. Incremental Deployment-2025'!J17</f>
        <v>0</v>
      </c>
      <c r="K17" s="66" t="s">
        <v>383</v>
      </c>
      <c r="L17" s="58" t="s">
        <v>383</v>
      </c>
      <c r="M17" s="58" t="s">
        <v>383</v>
      </c>
      <c r="N17" s="65" t="s">
        <v>383</v>
      </c>
      <c r="O17" s="58" t="s">
        <v>383</v>
      </c>
      <c r="P17" s="58" t="s">
        <v>383</v>
      </c>
      <c r="Q17" s="198" t="s">
        <v>383</v>
      </c>
      <c r="R17" s="65">
        <f>'1a. Incremental Deployment-2022'!R17+'1b. Incremental Deployment-2023'!R17+'1c. Incremental Deployment-2024'!R17+'1d. Incremental Deployment-2025'!R17</f>
        <v>0</v>
      </c>
      <c r="S17" s="58">
        <f>'1a. Incremental Deployment-2022'!S17+'1b. Incremental Deployment-2023'!S17+'1c. Incremental Deployment-2024'!S17+'1d. Incremental Deployment-2025'!S17</f>
        <v>0</v>
      </c>
      <c r="T17" s="58">
        <f>'1a. Incremental Deployment-2022'!T17+'1b. Incremental Deployment-2023'!T17+'1c. Incremental Deployment-2024'!T17+'1d. Incremental Deployment-2025'!T17</f>
        <v>0</v>
      </c>
      <c r="U17" s="203">
        <f>'1a. Incremental Deployment-2022'!U17+'1b. Incremental Deployment-2023'!U17+'1c. Incremental Deployment-2024'!U17+'1d. Incremental Deployment-2025'!U17</f>
        <v>0</v>
      </c>
      <c r="V17" s="65">
        <f>'1a. Incremental Deployment-2022'!V17+'1b. Incremental Deployment-2023'!V17+'1c. Incremental Deployment-2024'!V17+'1d. Incremental Deployment-2025'!V17</f>
        <v>1</v>
      </c>
      <c r="W17" s="65" t="s">
        <v>383</v>
      </c>
      <c r="X17" s="58" t="s">
        <v>383</v>
      </c>
      <c r="Y17" s="58" t="s">
        <v>383</v>
      </c>
      <c r="Z17" s="58" t="s">
        <v>383</v>
      </c>
      <c r="AA17" s="204">
        <f>'1a. Incremental Deployment-2022'!AA17+'1b. Incremental Deployment-2023'!AA17+'1c. Incremental Deployment-2024'!AA17+'1d. Incremental Deployment-2025'!AA17</f>
        <v>0</v>
      </c>
      <c r="AB17" s="69">
        <f>'1a. Incremental Deployment-2022'!AB17+'1b. Incremental Deployment-2023'!AB17+'1c. Incremental Deployment-2024'!AB17+'1d. Incremental Deployment-2025'!AB17</f>
        <v>0</v>
      </c>
      <c r="AC17" s="69" t="s">
        <v>383</v>
      </c>
      <c r="AD17" s="65" t="s">
        <v>383</v>
      </c>
      <c r="AE17" s="198" t="s">
        <v>383</v>
      </c>
      <c r="AF17" s="58">
        <f>'1a. Incremental Deployment-2022'!AF17+'1b. Incremental Deployment-2023'!AF17+'1c. Incremental Deployment-2024'!AF17+'1d. Incremental Deployment-2025'!AF17</f>
        <v>0</v>
      </c>
      <c r="AG17" s="204" t="s">
        <v>383</v>
      </c>
      <c r="AH17" s="69" t="s">
        <v>383</v>
      </c>
      <c r="AI17" s="69">
        <f>'1a. Incremental Deployment-2022'!AI17+'1b. Incremental Deployment-2023'!AI17+'1c. Incremental Deployment-2024'!AI17+'1d. Incremental Deployment-2025'!AI17</f>
        <v>0</v>
      </c>
      <c r="AJ17" s="69" t="s">
        <v>383</v>
      </c>
    </row>
    <row r="18" spans="1:36" s="123" customFormat="1" ht="30" customHeight="1" x14ac:dyDescent="0.3">
      <c r="A18" s="60" t="str">
        <f t="shared" si="0"/>
        <v>Unitil</v>
      </c>
      <c r="B18" s="66" t="s">
        <v>383</v>
      </c>
      <c r="C18" s="66" t="s">
        <v>383</v>
      </c>
      <c r="D18" s="58" t="s">
        <v>395</v>
      </c>
      <c r="E18" s="58" t="s">
        <v>395</v>
      </c>
      <c r="F18" s="58" t="s">
        <v>397</v>
      </c>
      <c r="G18" s="58" t="s">
        <v>395</v>
      </c>
      <c r="H18" s="10" t="s">
        <v>387</v>
      </c>
      <c r="I18" s="58">
        <f>'1a. Incremental Deployment-2022'!I18+'1b. Incremental Deployment-2023'!I18+'1c. Incremental Deployment-2024'!I18+'1d. Incremental Deployment-2025'!I18</f>
        <v>0</v>
      </c>
      <c r="J18" s="58">
        <f>'1a. Incremental Deployment-2022'!J18+'1b. Incremental Deployment-2023'!J18+'1c. Incremental Deployment-2024'!J18+'1d. Incremental Deployment-2025'!J18</f>
        <v>0</v>
      </c>
      <c r="K18" s="66" t="s">
        <v>383</v>
      </c>
      <c r="L18" s="58" t="s">
        <v>383</v>
      </c>
      <c r="M18" s="58" t="s">
        <v>383</v>
      </c>
      <c r="N18" s="65" t="s">
        <v>383</v>
      </c>
      <c r="O18" s="58" t="s">
        <v>383</v>
      </c>
      <c r="P18" s="58" t="s">
        <v>383</v>
      </c>
      <c r="Q18" s="198" t="s">
        <v>383</v>
      </c>
      <c r="R18" s="65">
        <f>'1a. Incremental Deployment-2022'!R18+'1b. Incremental Deployment-2023'!R18+'1c. Incremental Deployment-2024'!R18+'1d. Incremental Deployment-2025'!R18</f>
        <v>0</v>
      </c>
      <c r="S18" s="58">
        <f>'1a. Incremental Deployment-2022'!S18+'1b. Incremental Deployment-2023'!S18+'1c. Incremental Deployment-2024'!S18+'1d. Incremental Deployment-2025'!S18</f>
        <v>0</v>
      </c>
      <c r="T18" s="58">
        <f>'1a. Incremental Deployment-2022'!T18+'1b. Incremental Deployment-2023'!T18+'1c. Incremental Deployment-2024'!T18+'1d. Incremental Deployment-2025'!T18</f>
        <v>0</v>
      </c>
      <c r="U18" s="203">
        <f>'1a. Incremental Deployment-2022'!U18+'1b. Incremental Deployment-2023'!U18+'1c. Incremental Deployment-2024'!U18+'1d. Incremental Deployment-2025'!U18</f>
        <v>0</v>
      </c>
      <c r="V18" s="65">
        <f>'1a. Incremental Deployment-2022'!V18+'1b. Incremental Deployment-2023'!V18+'1c. Incremental Deployment-2024'!V18+'1d. Incremental Deployment-2025'!V18</f>
        <v>1</v>
      </c>
      <c r="W18" s="65" t="s">
        <v>383</v>
      </c>
      <c r="X18" s="58" t="s">
        <v>383</v>
      </c>
      <c r="Y18" s="58" t="s">
        <v>383</v>
      </c>
      <c r="Z18" s="58" t="s">
        <v>383</v>
      </c>
      <c r="AA18" s="204">
        <f>'1a. Incremental Deployment-2022'!AA18+'1b. Incremental Deployment-2023'!AA18+'1c. Incremental Deployment-2024'!AA18+'1d. Incremental Deployment-2025'!AA18</f>
        <v>0</v>
      </c>
      <c r="AB18" s="69">
        <f>'1a. Incremental Deployment-2022'!AB18+'1b. Incremental Deployment-2023'!AB18+'1c. Incremental Deployment-2024'!AB18+'1d. Incremental Deployment-2025'!AB18</f>
        <v>0</v>
      </c>
      <c r="AC18" s="69" t="s">
        <v>383</v>
      </c>
      <c r="AD18" s="65" t="s">
        <v>383</v>
      </c>
      <c r="AE18" s="198" t="s">
        <v>383</v>
      </c>
      <c r="AF18" s="58">
        <f>'1a. Incremental Deployment-2022'!AF18+'1b. Incremental Deployment-2023'!AF18+'1c. Incremental Deployment-2024'!AF18+'1d. Incremental Deployment-2025'!AF18</f>
        <v>0</v>
      </c>
      <c r="AG18" s="204" t="s">
        <v>383</v>
      </c>
      <c r="AH18" s="69" t="s">
        <v>383</v>
      </c>
      <c r="AI18" s="69">
        <f>'1a. Incremental Deployment-2022'!AI18+'1b. Incremental Deployment-2023'!AI18+'1c. Incremental Deployment-2024'!AI18+'1d. Incremental Deployment-2025'!AI18</f>
        <v>0</v>
      </c>
      <c r="AJ18" s="69" t="s">
        <v>383</v>
      </c>
    </row>
    <row r="19" spans="1:36" s="123" customFormat="1" ht="30" customHeight="1" x14ac:dyDescent="0.3">
      <c r="A19" s="60" t="str">
        <f t="shared" si="0"/>
        <v>Unitil</v>
      </c>
      <c r="B19" s="66" t="s">
        <v>383</v>
      </c>
      <c r="C19" s="66" t="s">
        <v>383</v>
      </c>
      <c r="D19" s="58" t="s">
        <v>395</v>
      </c>
      <c r="E19" s="58" t="s">
        <v>395</v>
      </c>
      <c r="F19" s="58" t="s">
        <v>398</v>
      </c>
      <c r="G19" s="58" t="s">
        <v>399</v>
      </c>
      <c r="H19" s="10" t="s">
        <v>387</v>
      </c>
      <c r="I19" s="58">
        <f>'1a. Incremental Deployment-2022'!I19+'1b. Incremental Deployment-2023'!I19+'1c. Incremental Deployment-2024'!I19+'1d. Incremental Deployment-2025'!I19</f>
        <v>0</v>
      </c>
      <c r="J19" s="58">
        <f>'1a. Incremental Deployment-2022'!J19+'1b. Incremental Deployment-2023'!J19+'1c. Incremental Deployment-2024'!J19+'1d. Incremental Deployment-2025'!J19</f>
        <v>0</v>
      </c>
      <c r="K19" s="66" t="s">
        <v>383</v>
      </c>
      <c r="L19" s="58" t="s">
        <v>383</v>
      </c>
      <c r="M19" s="58" t="s">
        <v>383</v>
      </c>
      <c r="N19" s="65" t="s">
        <v>383</v>
      </c>
      <c r="O19" s="58" t="s">
        <v>383</v>
      </c>
      <c r="P19" s="58" t="s">
        <v>383</v>
      </c>
      <c r="Q19" s="198" t="s">
        <v>383</v>
      </c>
      <c r="R19" s="65">
        <f>'1a. Incremental Deployment-2022'!R19+'1b. Incremental Deployment-2023'!R19+'1c. Incremental Deployment-2024'!R19+'1d. Incremental Deployment-2025'!R19</f>
        <v>0</v>
      </c>
      <c r="S19" s="58">
        <f>'1a. Incremental Deployment-2022'!S19+'1b. Incremental Deployment-2023'!S19+'1c. Incremental Deployment-2024'!S19+'1d. Incremental Deployment-2025'!S19</f>
        <v>0</v>
      </c>
      <c r="T19" s="58">
        <f>'1a. Incremental Deployment-2022'!T19+'1b. Incremental Deployment-2023'!T19+'1c. Incremental Deployment-2024'!T19+'1d. Incremental Deployment-2025'!T19</f>
        <v>0</v>
      </c>
      <c r="U19" s="203">
        <f>'1a. Incremental Deployment-2022'!U19+'1b. Incremental Deployment-2023'!U19+'1c. Incremental Deployment-2024'!U19+'1d. Incremental Deployment-2025'!U19</f>
        <v>0</v>
      </c>
      <c r="V19" s="65">
        <f>'1a. Incremental Deployment-2022'!V19+'1b. Incremental Deployment-2023'!V19+'1c. Incremental Deployment-2024'!V19+'1d. Incremental Deployment-2025'!V19</f>
        <v>1</v>
      </c>
      <c r="W19" s="65" t="s">
        <v>383</v>
      </c>
      <c r="X19" s="58" t="s">
        <v>383</v>
      </c>
      <c r="Y19" s="58" t="s">
        <v>383</v>
      </c>
      <c r="Z19" s="58" t="s">
        <v>383</v>
      </c>
      <c r="AA19" s="204">
        <f>'1a. Incremental Deployment-2022'!AA19+'1b. Incremental Deployment-2023'!AA19+'1c. Incremental Deployment-2024'!AA19+'1d. Incremental Deployment-2025'!AA19</f>
        <v>0</v>
      </c>
      <c r="AB19" s="69">
        <f>'1a. Incremental Deployment-2022'!AB19+'1b. Incremental Deployment-2023'!AB19+'1c. Incremental Deployment-2024'!AB19+'1d. Incremental Deployment-2025'!AB19</f>
        <v>0</v>
      </c>
      <c r="AC19" s="69" t="s">
        <v>383</v>
      </c>
      <c r="AD19" s="65" t="s">
        <v>383</v>
      </c>
      <c r="AE19" s="198" t="s">
        <v>383</v>
      </c>
      <c r="AF19" s="58">
        <f>'1a. Incremental Deployment-2022'!AF19+'1b. Incremental Deployment-2023'!AF19+'1c. Incremental Deployment-2024'!AF19+'1d. Incremental Deployment-2025'!AF19</f>
        <v>0</v>
      </c>
      <c r="AG19" s="204" t="s">
        <v>383</v>
      </c>
      <c r="AH19" s="69" t="s">
        <v>383</v>
      </c>
      <c r="AI19" s="69">
        <f>'1a. Incremental Deployment-2022'!AI19+'1b. Incremental Deployment-2023'!AI19+'1c. Incremental Deployment-2024'!AI19+'1d. Incremental Deployment-2025'!AI19</f>
        <v>0</v>
      </c>
      <c r="AJ19" s="69" t="s">
        <v>383</v>
      </c>
    </row>
    <row r="20" spans="1:36" s="123" customFormat="1" ht="30" customHeight="1" x14ac:dyDescent="0.3">
      <c r="A20" s="60" t="str">
        <f t="shared" si="0"/>
        <v>Unitil</v>
      </c>
      <c r="B20" s="66" t="s">
        <v>383</v>
      </c>
      <c r="C20" s="66" t="s">
        <v>383</v>
      </c>
      <c r="D20" s="58" t="s">
        <v>395</v>
      </c>
      <c r="E20" s="58" t="s">
        <v>395</v>
      </c>
      <c r="F20" s="58" t="s">
        <v>400</v>
      </c>
      <c r="G20" s="58" t="s">
        <v>395</v>
      </c>
      <c r="H20" s="10" t="s">
        <v>387</v>
      </c>
      <c r="I20" s="58">
        <f>'1a. Incremental Deployment-2022'!I20+'1b. Incremental Deployment-2023'!I20+'1c. Incremental Deployment-2024'!I20+'1d. Incremental Deployment-2025'!I20</f>
        <v>0</v>
      </c>
      <c r="J20" s="58">
        <f>'1a. Incremental Deployment-2022'!J20+'1b. Incremental Deployment-2023'!J20+'1c. Incremental Deployment-2024'!J20+'1d. Incremental Deployment-2025'!J20</f>
        <v>0</v>
      </c>
      <c r="K20" s="66" t="s">
        <v>383</v>
      </c>
      <c r="L20" s="58" t="s">
        <v>383</v>
      </c>
      <c r="M20" s="58" t="s">
        <v>383</v>
      </c>
      <c r="N20" s="65" t="s">
        <v>383</v>
      </c>
      <c r="O20" s="58" t="s">
        <v>383</v>
      </c>
      <c r="P20" s="58" t="s">
        <v>383</v>
      </c>
      <c r="Q20" s="198" t="s">
        <v>383</v>
      </c>
      <c r="R20" s="65">
        <f>'1a. Incremental Deployment-2022'!R20+'1b. Incremental Deployment-2023'!R20+'1c. Incremental Deployment-2024'!R20+'1d. Incremental Deployment-2025'!R20</f>
        <v>0</v>
      </c>
      <c r="S20" s="58">
        <f>'1a. Incremental Deployment-2022'!S20+'1b. Incremental Deployment-2023'!S20+'1c. Incremental Deployment-2024'!S20+'1d. Incremental Deployment-2025'!S20</f>
        <v>0</v>
      </c>
      <c r="T20" s="58">
        <f>'1a. Incremental Deployment-2022'!T20+'1b. Incremental Deployment-2023'!T20+'1c. Incremental Deployment-2024'!T20+'1d. Incremental Deployment-2025'!T20</f>
        <v>0</v>
      </c>
      <c r="U20" s="203">
        <f>'1a. Incremental Deployment-2022'!U20+'1b. Incremental Deployment-2023'!U20+'1c. Incremental Deployment-2024'!U20+'1d. Incremental Deployment-2025'!U20</f>
        <v>0</v>
      </c>
      <c r="V20" s="65">
        <f>'1a. Incremental Deployment-2022'!V20+'1b. Incremental Deployment-2023'!V20+'1c. Incremental Deployment-2024'!V20+'1d. Incremental Deployment-2025'!V20</f>
        <v>1</v>
      </c>
      <c r="W20" s="65" t="s">
        <v>383</v>
      </c>
      <c r="X20" s="58" t="s">
        <v>383</v>
      </c>
      <c r="Y20" s="58" t="s">
        <v>383</v>
      </c>
      <c r="Z20" s="58" t="s">
        <v>383</v>
      </c>
      <c r="AA20" s="204">
        <f>'1a. Incremental Deployment-2022'!AA20+'1b. Incremental Deployment-2023'!AA20+'1c. Incremental Deployment-2024'!AA20+'1d. Incremental Deployment-2025'!AA20</f>
        <v>0</v>
      </c>
      <c r="AB20" s="69">
        <f>'1a. Incremental Deployment-2022'!AB20+'1b. Incremental Deployment-2023'!AB20+'1c. Incremental Deployment-2024'!AB20+'1d. Incremental Deployment-2025'!AB20</f>
        <v>0</v>
      </c>
      <c r="AC20" s="69" t="s">
        <v>383</v>
      </c>
      <c r="AD20" s="65" t="s">
        <v>383</v>
      </c>
      <c r="AE20" s="198" t="s">
        <v>383</v>
      </c>
      <c r="AF20" s="58">
        <f>'1a. Incremental Deployment-2022'!AF20+'1b. Incremental Deployment-2023'!AF20+'1c. Incremental Deployment-2024'!AF20+'1d. Incremental Deployment-2025'!AF20</f>
        <v>0</v>
      </c>
      <c r="AG20" s="204" t="s">
        <v>383</v>
      </c>
      <c r="AH20" s="69" t="s">
        <v>383</v>
      </c>
      <c r="AI20" s="69">
        <f>'1a. Incremental Deployment-2022'!AI20+'1b. Incremental Deployment-2023'!AI20+'1c. Incremental Deployment-2024'!AI20+'1d. Incremental Deployment-2025'!AI20</f>
        <v>0</v>
      </c>
      <c r="AJ20" s="69" t="s">
        <v>383</v>
      </c>
    </row>
    <row r="21" spans="1:36" s="123" customFormat="1" ht="30" customHeight="1" x14ac:dyDescent="0.3">
      <c r="A21" s="60" t="str">
        <f t="shared" si="0"/>
        <v>Unitil</v>
      </c>
      <c r="B21" s="66" t="s">
        <v>383</v>
      </c>
      <c r="C21" s="66" t="s">
        <v>383</v>
      </c>
      <c r="D21" s="58" t="s">
        <v>395</v>
      </c>
      <c r="E21" s="58" t="s">
        <v>395</v>
      </c>
      <c r="F21" s="496"/>
      <c r="G21" s="496"/>
      <c r="H21" s="497"/>
      <c r="I21" s="58">
        <f>'1a. Incremental Deployment-2022'!I21+'1b. Incremental Deployment-2023'!I21+'1c. Incremental Deployment-2024'!I21+'1d. Incremental Deployment-2025'!I21</f>
        <v>0</v>
      </c>
      <c r="J21" s="58">
        <f>'1a. Incremental Deployment-2022'!J21+'1b. Incremental Deployment-2023'!J21+'1c. Incremental Deployment-2024'!J21+'1d. Incremental Deployment-2025'!J21</f>
        <v>0</v>
      </c>
      <c r="K21" s="66" t="s">
        <v>383</v>
      </c>
      <c r="L21" s="58" t="s">
        <v>383</v>
      </c>
      <c r="M21" s="58" t="s">
        <v>383</v>
      </c>
      <c r="N21" s="65" t="s">
        <v>383</v>
      </c>
      <c r="O21" s="58" t="s">
        <v>383</v>
      </c>
      <c r="P21" s="58" t="s">
        <v>383</v>
      </c>
      <c r="Q21" s="198" t="s">
        <v>383</v>
      </c>
      <c r="R21" s="65">
        <f>'1a. Incremental Deployment-2022'!R21+'1b. Incremental Deployment-2023'!R21+'1c. Incremental Deployment-2024'!R21+'1d. Incremental Deployment-2025'!R21</f>
        <v>0</v>
      </c>
      <c r="S21" s="58">
        <f>'1a. Incremental Deployment-2022'!S21+'1b. Incremental Deployment-2023'!S21+'1c. Incremental Deployment-2024'!S21+'1d. Incremental Deployment-2025'!S21</f>
        <v>0</v>
      </c>
      <c r="T21" s="58">
        <f>'1a. Incremental Deployment-2022'!T21+'1b. Incremental Deployment-2023'!T21+'1c. Incremental Deployment-2024'!T21+'1d. Incremental Deployment-2025'!T21</f>
        <v>0</v>
      </c>
      <c r="U21" s="203">
        <f>'1a. Incremental Deployment-2022'!U21+'1b. Incremental Deployment-2023'!U21+'1c. Incremental Deployment-2024'!U21+'1d. Incremental Deployment-2025'!U21</f>
        <v>0</v>
      </c>
      <c r="V21" s="65">
        <f>'1a. Incremental Deployment-2022'!V21+'1b. Incremental Deployment-2023'!V21+'1c. Incremental Deployment-2024'!V21+'1d. Incremental Deployment-2025'!V21</f>
        <v>0</v>
      </c>
      <c r="W21" s="65" t="s">
        <v>383</v>
      </c>
      <c r="X21" s="58" t="s">
        <v>383</v>
      </c>
      <c r="Y21" s="58" t="s">
        <v>383</v>
      </c>
      <c r="Z21" s="58" t="s">
        <v>383</v>
      </c>
      <c r="AA21" s="204">
        <f>'1a. Incremental Deployment-2022'!AA21+'1b. Incremental Deployment-2023'!AA21+'1c. Incremental Deployment-2024'!AA21+'1d. Incremental Deployment-2025'!AA21</f>
        <v>0</v>
      </c>
      <c r="AB21" s="69">
        <f>'1a. Incremental Deployment-2022'!AB21+'1b. Incremental Deployment-2023'!AB21+'1c. Incremental Deployment-2024'!AB21+'1d. Incremental Deployment-2025'!AB21</f>
        <v>0</v>
      </c>
      <c r="AC21" s="69" t="s">
        <v>383</v>
      </c>
      <c r="AD21" s="65" t="s">
        <v>383</v>
      </c>
      <c r="AE21" s="198" t="s">
        <v>383</v>
      </c>
      <c r="AF21" s="58">
        <f>'1a. Incremental Deployment-2022'!AF21+'1b. Incremental Deployment-2023'!AF21+'1c. Incremental Deployment-2024'!AF21+'1d. Incremental Deployment-2025'!AF21</f>
        <v>0</v>
      </c>
      <c r="AG21" s="204" t="s">
        <v>383</v>
      </c>
      <c r="AH21" s="69" t="s">
        <v>383</v>
      </c>
      <c r="AI21" s="69">
        <f>'1a. Incremental Deployment-2022'!AI21+'1b. Incremental Deployment-2023'!AI21+'1c. Incremental Deployment-2024'!AI21+'1d. Incremental Deployment-2025'!AI21</f>
        <v>0</v>
      </c>
      <c r="AJ21" s="69" t="s">
        <v>383</v>
      </c>
    </row>
    <row r="22" spans="1:36" s="123" customFormat="1" ht="30" customHeight="1" x14ac:dyDescent="0.3">
      <c r="A22" s="60" t="str">
        <f t="shared" si="0"/>
        <v>Unitil</v>
      </c>
      <c r="B22" s="66" t="s">
        <v>383</v>
      </c>
      <c r="C22" s="66" t="s">
        <v>383</v>
      </c>
      <c r="D22" s="58" t="s">
        <v>401</v>
      </c>
      <c r="E22" s="58" t="s">
        <v>385</v>
      </c>
      <c r="F22" s="58" t="s">
        <v>402</v>
      </c>
      <c r="G22" s="58" t="s">
        <v>385</v>
      </c>
      <c r="H22" s="10" t="s">
        <v>387</v>
      </c>
      <c r="I22" s="58">
        <f>'1a. Incremental Deployment-2022'!I22+'1b. Incremental Deployment-2023'!I22+'1c. Incremental Deployment-2024'!I22+'1d. Incremental Deployment-2025'!I22</f>
        <v>1</v>
      </c>
      <c r="J22" s="58">
        <f>'1a. Incremental Deployment-2022'!J22+'1b. Incremental Deployment-2023'!J22+'1c. Incremental Deployment-2024'!J22+'1d. Incremental Deployment-2025'!J22</f>
        <v>0</v>
      </c>
      <c r="K22" s="66" t="s">
        <v>383</v>
      </c>
      <c r="L22" s="58" t="s">
        <v>383</v>
      </c>
      <c r="M22" s="58" t="s">
        <v>383</v>
      </c>
      <c r="N22" s="65" t="s">
        <v>383</v>
      </c>
      <c r="O22" s="58" t="s">
        <v>383</v>
      </c>
      <c r="P22" s="58" t="s">
        <v>383</v>
      </c>
      <c r="Q22" s="198" t="s">
        <v>383</v>
      </c>
      <c r="R22" s="65">
        <f>'1a. Incremental Deployment-2022'!R22+'1b. Incremental Deployment-2023'!R22+'1c. Incremental Deployment-2024'!R22+'1d. Incremental Deployment-2025'!R22</f>
        <v>0</v>
      </c>
      <c r="S22" s="58">
        <f>'1a. Incremental Deployment-2022'!S22+'1b. Incremental Deployment-2023'!S22+'1c. Incremental Deployment-2024'!S22+'1d. Incremental Deployment-2025'!S22</f>
        <v>0</v>
      </c>
      <c r="T22" s="58">
        <f>'1a. Incremental Deployment-2022'!T22+'1b. Incremental Deployment-2023'!T22+'1c. Incremental Deployment-2024'!T22+'1d. Incremental Deployment-2025'!T22</f>
        <v>0</v>
      </c>
      <c r="U22" s="203">
        <f>'1a. Incremental Deployment-2022'!U22+'1b. Incremental Deployment-2023'!U22+'1c. Incremental Deployment-2024'!U22+'1d. Incremental Deployment-2025'!U22</f>
        <v>0</v>
      </c>
      <c r="V22" s="65">
        <f>'1a. Incremental Deployment-2022'!V22+'1b. Incremental Deployment-2023'!V22+'1c. Incremental Deployment-2024'!V22+'1d. Incremental Deployment-2025'!V22</f>
        <v>0</v>
      </c>
      <c r="W22" s="65" t="s">
        <v>383</v>
      </c>
      <c r="X22" s="58" t="s">
        <v>383</v>
      </c>
      <c r="Y22" s="58" t="s">
        <v>383</v>
      </c>
      <c r="Z22" s="58" t="s">
        <v>383</v>
      </c>
      <c r="AA22" s="204">
        <f>'1a. Incremental Deployment-2022'!AA22+'1b. Incremental Deployment-2023'!AA22+'1c. Incremental Deployment-2024'!AA22+'1d. Incremental Deployment-2025'!AA22</f>
        <v>0</v>
      </c>
      <c r="AB22" s="69">
        <f>'1a. Incremental Deployment-2022'!AB22+'1b. Incremental Deployment-2023'!AB22+'1c. Incremental Deployment-2024'!AB22+'1d. Incremental Deployment-2025'!AB22</f>
        <v>0</v>
      </c>
      <c r="AC22" s="69" t="s">
        <v>383</v>
      </c>
      <c r="AD22" s="65" t="s">
        <v>383</v>
      </c>
      <c r="AE22" s="198" t="s">
        <v>383</v>
      </c>
      <c r="AF22" s="58">
        <f>'1a. Incremental Deployment-2022'!AF22+'1b. Incremental Deployment-2023'!AF22+'1c. Incremental Deployment-2024'!AF22+'1d. Incremental Deployment-2025'!AF22</f>
        <v>0</v>
      </c>
      <c r="AG22" s="204" t="s">
        <v>383</v>
      </c>
      <c r="AH22" s="69" t="s">
        <v>383</v>
      </c>
      <c r="AI22" s="69">
        <f>'1a. Incremental Deployment-2022'!AI22+'1b. Incremental Deployment-2023'!AI22+'1c. Incremental Deployment-2024'!AI22+'1d. Incremental Deployment-2025'!AI22</f>
        <v>0</v>
      </c>
      <c r="AJ22" s="69" t="s">
        <v>383</v>
      </c>
    </row>
    <row r="23" spans="1:36" s="123" customFormat="1" ht="30" customHeight="1" x14ac:dyDescent="0.3">
      <c r="A23" s="60" t="str">
        <f t="shared" si="0"/>
        <v>Unitil</v>
      </c>
      <c r="B23" s="66" t="s">
        <v>383</v>
      </c>
      <c r="C23" s="66" t="s">
        <v>383</v>
      </c>
      <c r="D23" s="58" t="s">
        <v>401</v>
      </c>
      <c r="E23" s="58" t="s">
        <v>385</v>
      </c>
      <c r="F23" s="496"/>
      <c r="G23" s="496"/>
      <c r="H23" s="497"/>
      <c r="I23" s="58">
        <f>'1a. Incremental Deployment-2022'!I23+'1b. Incremental Deployment-2023'!I23+'1c. Incremental Deployment-2024'!I23+'1d. Incremental Deployment-2025'!I23</f>
        <v>0</v>
      </c>
      <c r="J23" s="58">
        <f>'1a. Incremental Deployment-2022'!J23+'1b. Incremental Deployment-2023'!J23+'1c. Incremental Deployment-2024'!J23+'1d. Incremental Deployment-2025'!J23</f>
        <v>0</v>
      </c>
      <c r="K23" s="66" t="s">
        <v>383</v>
      </c>
      <c r="L23" s="58" t="s">
        <v>383</v>
      </c>
      <c r="M23" s="58" t="s">
        <v>383</v>
      </c>
      <c r="N23" s="65" t="s">
        <v>383</v>
      </c>
      <c r="O23" s="58" t="s">
        <v>383</v>
      </c>
      <c r="P23" s="58" t="s">
        <v>383</v>
      </c>
      <c r="Q23" s="198" t="s">
        <v>383</v>
      </c>
      <c r="R23" s="65">
        <f>'1a. Incremental Deployment-2022'!R23+'1b. Incremental Deployment-2023'!R23+'1c. Incremental Deployment-2024'!R23+'1d. Incremental Deployment-2025'!R23</f>
        <v>0</v>
      </c>
      <c r="S23" s="58">
        <f>'1a. Incremental Deployment-2022'!S23+'1b. Incremental Deployment-2023'!S23+'1c. Incremental Deployment-2024'!S23+'1d. Incremental Deployment-2025'!S23</f>
        <v>0</v>
      </c>
      <c r="T23" s="58">
        <f>'1a. Incremental Deployment-2022'!T23+'1b. Incremental Deployment-2023'!T23+'1c. Incremental Deployment-2024'!T23+'1d. Incremental Deployment-2025'!T23</f>
        <v>0</v>
      </c>
      <c r="U23" s="203">
        <f>'1a. Incremental Deployment-2022'!U23+'1b. Incremental Deployment-2023'!U23+'1c. Incremental Deployment-2024'!U23+'1d. Incremental Deployment-2025'!U23</f>
        <v>0</v>
      </c>
      <c r="V23" s="65">
        <f>'1a. Incremental Deployment-2022'!V23+'1b. Incremental Deployment-2023'!V23+'1c. Incremental Deployment-2024'!V23+'1d. Incremental Deployment-2025'!V23</f>
        <v>0</v>
      </c>
      <c r="W23" s="65" t="s">
        <v>383</v>
      </c>
      <c r="X23" s="58" t="s">
        <v>383</v>
      </c>
      <c r="Y23" s="58" t="s">
        <v>383</v>
      </c>
      <c r="Z23" s="58" t="s">
        <v>383</v>
      </c>
      <c r="AA23" s="204">
        <f>'1a. Incremental Deployment-2022'!AA23+'1b. Incremental Deployment-2023'!AA23+'1c. Incremental Deployment-2024'!AA23+'1d. Incremental Deployment-2025'!AA23</f>
        <v>0</v>
      </c>
      <c r="AB23" s="69">
        <f>'1a. Incremental Deployment-2022'!AB23+'1b. Incremental Deployment-2023'!AB23+'1c. Incremental Deployment-2024'!AB23+'1d. Incremental Deployment-2025'!AB23</f>
        <v>0</v>
      </c>
      <c r="AC23" s="69" t="s">
        <v>383</v>
      </c>
      <c r="AD23" s="65" t="s">
        <v>383</v>
      </c>
      <c r="AE23" s="198" t="s">
        <v>383</v>
      </c>
      <c r="AF23" s="58">
        <f>'1a. Incremental Deployment-2022'!AF23+'1b. Incremental Deployment-2023'!AF23+'1c. Incremental Deployment-2024'!AF23+'1d. Incremental Deployment-2025'!AF23</f>
        <v>0</v>
      </c>
      <c r="AG23" s="204" t="s">
        <v>383</v>
      </c>
      <c r="AH23" s="69" t="s">
        <v>383</v>
      </c>
      <c r="AI23" s="69">
        <f>'1a. Incremental Deployment-2022'!AI23+'1b. Incremental Deployment-2023'!AI23+'1c. Incremental Deployment-2024'!AI23+'1d. Incremental Deployment-2025'!AI23</f>
        <v>0</v>
      </c>
      <c r="AJ23" s="69" t="s">
        <v>383</v>
      </c>
    </row>
    <row r="24" spans="1:36" s="123" customFormat="1" ht="30" customHeight="1" x14ac:dyDescent="0.3">
      <c r="A24" s="60" t="str">
        <f t="shared" si="0"/>
        <v>Unitil</v>
      </c>
      <c r="B24" s="66" t="s">
        <v>383</v>
      </c>
      <c r="C24" s="66" t="s">
        <v>383</v>
      </c>
      <c r="D24" s="58" t="s">
        <v>403</v>
      </c>
      <c r="E24" s="58" t="s">
        <v>385</v>
      </c>
      <c r="F24" s="58">
        <v>1341</v>
      </c>
      <c r="G24" s="58" t="s">
        <v>385</v>
      </c>
      <c r="H24" s="10" t="s">
        <v>387</v>
      </c>
      <c r="I24" s="58">
        <f>'1a. Incremental Deployment-2022'!I24+'1b. Incremental Deployment-2023'!I24+'1c. Incremental Deployment-2024'!I24+'1d. Incremental Deployment-2025'!I24</f>
        <v>0</v>
      </c>
      <c r="J24" s="58">
        <f>'1a. Incremental Deployment-2022'!J24+'1b. Incremental Deployment-2023'!J24+'1c. Incremental Deployment-2024'!J24+'1d. Incremental Deployment-2025'!J24</f>
        <v>0</v>
      </c>
      <c r="K24" s="66" t="s">
        <v>383</v>
      </c>
      <c r="L24" s="58" t="s">
        <v>383</v>
      </c>
      <c r="M24" s="58" t="s">
        <v>383</v>
      </c>
      <c r="N24" s="65" t="s">
        <v>383</v>
      </c>
      <c r="O24" s="58" t="s">
        <v>383</v>
      </c>
      <c r="P24" s="58" t="s">
        <v>383</v>
      </c>
      <c r="Q24" s="198" t="s">
        <v>383</v>
      </c>
      <c r="R24" s="65">
        <f>'1a. Incremental Deployment-2022'!R24+'1b. Incremental Deployment-2023'!R24+'1c. Incremental Deployment-2024'!R24+'1d. Incremental Deployment-2025'!R24</f>
        <v>0</v>
      </c>
      <c r="S24" s="58">
        <f>'1a. Incremental Deployment-2022'!S24+'1b. Incremental Deployment-2023'!S24+'1c. Incremental Deployment-2024'!S24+'1d. Incremental Deployment-2025'!S24</f>
        <v>0</v>
      </c>
      <c r="T24" s="58">
        <f>'1a. Incremental Deployment-2022'!T24+'1b. Incremental Deployment-2023'!T24+'1c. Incremental Deployment-2024'!T24+'1d. Incremental Deployment-2025'!T24</f>
        <v>0</v>
      </c>
      <c r="U24" s="203">
        <f>'1a. Incremental Deployment-2022'!U24+'1b. Incremental Deployment-2023'!U24+'1c. Incremental Deployment-2024'!U24+'1d. Incremental Deployment-2025'!U24</f>
        <v>0</v>
      </c>
      <c r="V24" s="65">
        <f>'1a. Incremental Deployment-2022'!V24+'1b. Incremental Deployment-2023'!V24+'1c. Incremental Deployment-2024'!V24+'1d. Incremental Deployment-2025'!V24</f>
        <v>0</v>
      </c>
      <c r="W24" s="65" t="s">
        <v>383</v>
      </c>
      <c r="X24" s="58" t="s">
        <v>383</v>
      </c>
      <c r="Y24" s="58" t="s">
        <v>383</v>
      </c>
      <c r="Z24" s="58" t="s">
        <v>383</v>
      </c>
      <c r="AA24" s="204">
        <f>'1a. Incremental Deployment-2022'!AA24+'1b. Incremental Deployment-2023'!AA24+'1c. Incremental Deployment-2024'!AA24+'1d. Incremental Deployment-2025'!AA24</f>
        <v>0</v>
      </c>
      <c r="AB24" s="69">
        <f>'1a. Incremental Deployment-2022'!AB24+'1b. Incremental Deployment-2023'!AB24+'1c. Incremental Deployment-2024'!AB24+'1d. Incremental Deployment-2025'!AB24</f>
        <v>0</v>
      </c>
      <c r="AC24" s="69" t="s">
        <v>383</v>
      </c>
      <c r="AD24" s="65" t="s">
        <v>383</v>
      </c>
      <c r="AE24" s="198" t="s">
        <v>383</v>
      </c>
      <c r="AF24" s="58">
        <f>'1a. Incremental Deployment-2022'!AF24+'1b. Incremental Deployment-2023'!AF24+'1c. Incremental Deployment-2024'!AF24+'1d. Incremental Deployment-2025'!AF24</f>
        <v>0</v>
      </c>
      <c r="AG24" s="204" t="s">
        <v>383</v>
      </c>
      <c r="AH24" s="69" t="s">
        <v>383</v>
      </c>
      <c r="AI24" s="69">
        <f>'1a. Incremental Deployment-2022'!AI24+'1b. Incremental Deployment-2023'!AI24+'1c. Incremental Deployment-2024'!AI24+'1d. Incremental Deployment-2025'!AI24</f>
        <v>0</v>
      </c>
      <c r="AJ24" s="69" t="s">
        <v>383</v>
      </c>
    </row>
    <row r="25" spans="1:36" s="123" customFormat="1" ht="30" customHeight="1" x14ac:dyDescent="0.3">
      <c r="A25" s="60" t="str">
        <f t="shared" si="0"/>
        <v>Unitil</v>
      </c>
      <c r="B25" s="66" t="s">
        <v>383</v>
      </c>
      <c r="C25" s="66" t="s">
        <v>383</v>
      </c>
      <c r="D25" s="58" t="s">
        <v>403</v>
      </c>
      <c r="E25" s="58" t="s">
        <v>385</v>
      </c>
      <c r="F25" s="496"/>
      <c r="G25" s="496"/>
      <c r="H25" s="497"/>
      <c r="I25" s="58">
        <f>'1a. Incremental Deployment-2022'!I25+'1b. Incremental Deployment-2023'!I25+'1c. Incremental Deployment-2024'!I25+'1d. Incremental Deployment-2025'!I25</f>
        <v>0</v>
      </c>
      <c r="J25" s="58">
        <f>'1a. Incremental Deployment-2022'!J25+'1b. Incremental Deployment-2023'!J25+'1c. Incremental Deployment-2024'!J25+'1d. Incremental Deployment-2025'!J25</f>
        <v>0</v>
      </c>
      <c r="K25" s="66" t="s">
        <v>383</v>
      </c>
      <c r="L25" s="58" t="s">
        <v>383</v>
      </c>
      <c r="M25" s="58" t="s">
        <v>383</v>
      </c>
      <c r="N25" s="65" t="s">
        <v>383</v>
      </c>
      <c r="O25" s="58" t="s">
        <v>383</v>
      </c>
      <c r="P25" s="58" t="s">
        <v>383</v>
      </c>
      <c r="Q25" s="198" t="s">
        <v>383</v>
      </c>
      <c r="R25" s="65">
        <f>'1a. Incremental Deployment-2022'!R25+'1b. Incremental Deployment-2023'!R25+'1c. Incremental Deployment-2024'!R25+'1d. Incremental Deployment-2025'!R25</f>
        <v>0</v>
      </c>
      <c r="S25" s="58">
        <f>'1a. Incremental Deployment-2022'!S25+'1b. Incremental Deployment-2023'!S25+'1c. Incremental Deployment-2024'!S25+'1d. Incremental Deployment-2025'!S25</f>
        <v>0</v>
      </c>
      <c r="T25" s="58">
        <f>'1a. Incremental Deployment-2022'!T25+'1b. Incremental Deployment-2023'!T25+'1c. Incremental Deployment-2024'!T25+'1d. Incremental Deployment-2025'!T25</f>
        <v>0</v>
      </c>
      <c r="U25" s="203">
        <f>'1a. Incremental Deployment-2022'!U25+'1b. Incremental Deployment-2023'!U25+'1c. Incremental Deployment-2024'!U25+'1d. Incremental Deployment-2025'!U25</f>
        <v>0</v>
      </c>
      <c r="V25" s="65">
        <f>'1a. Incremental Deployment-2022'!V25+'1b. Incremental Deployment-2023'!V25+'1c. Incremental Deployment-2024'!V25+'1d. Incremental Deployment-2025'!V25</f>
        <v>0</v>
      </c>
      <c r="W25" s="65" t="s">
        <v>383</v>
      </c>
      <c r="X25" s="58" t="s">
        <v>383</v>
      </c>
      <c r="Y25" s="58" t="s">
        <v>383</v>
      </c>
      <c r="Z25" s="58" t="s">
        <v>383</v>
      </c>
      <c r="AA25" s="204">
        <f>'1a. Incremental Deployment-2022'!AA25+'1b. Incremental Deployment-2023'!AA25+'1c. Incremental Deployment-2024'!AA25+'1d. Incremental Deployment-2025'!AA25</f>
        <v>0</v>
      </c>
      <c r="AB25" s="69">
        <f>'1a. Incremental Deployment-2022'!AB25+'1b. Incremental Deployment-2023'!AB25+'1c. Incremental Deployment-2024'!AB25+'1d. Incremental Deployment-2025'!AB25</f>
        <v>0</v>
      </c>
      <c r="AC25" s="69" t="s">
        <v>383</v>
      </c>
      <c r="AD25" s="65" t="s">
        <v>383</v>
      </c>
      <c r="AE25" s="198" t="s">
        <v>383</v>
      </c>
      <c r="AF25" s="58">
        <f>'1a. Incremental Deployment-2022'!AF25+'1b. Incremental Deployment-2023'!AF25+'1c. Incremental Deployment-2024'!AF25+'1d. Incremental Deployment-2025'!AF25</f>
        <v>0</v>
      </c>
      <c r="AG25" s="204" t="s">
        <v>383</v>
      </c>
      <c r="AH25" s="69" t="s">
        <v>383</v>
      </c>
      <c r="AI25" s="69">
        <f>'1a. Incremental Deployment-2022'!AI25+'1b. Incremental Deployment-2023'!AI25+'1c. Incremental Deployment-2024'!AI25+'1d. Incremental Deployment-2025'!AI25</f>
        <v>0</v>
      </c>
      <c r="AJ25" s="69" t="s">
        <v>383</v>
      </c>
    </row>
    <row r="26" spans="1:36" s="123" customFormat="1" ht="30" customHeight="1" x14ac:dyDescent="0.3">
      <c r="A26" s="60" t="str">
        <f t="shared" si="0"/>
        <v>Unitil</v>
      </c>
      <c r="B26" s="66" t="s">
        <v>383</v>
      </c>
      <c r="C26" s="66" t="s">
        <v>383</v>
      </c>
      <c r="D26" s="58" t="s">
        <v>404</v>
      </c>
      <c r="E26" s="58" t="s">
        <v>385</v>
      </c>
      <c r="F26" s="58" t="s">
        <v>405</v>
      </c>
      <c r="G26" s="58" t="s">
        <v>385</v>
      </c>
      <c r="H26" s="10" t="s">
        <v>387</v>
      </c>
      <c r="I26" s="58">
        <f>'1a. Incremental Deployment-2022'!I26+'1b. Incremental Deployment-2023'!I26+'1c. Incremental Deployment-2024'!I26+'1d. Incremental Deployment-2025'!I26</f>
        <v>0</v>
      </c>
      <c r="J26" s="58">
        <f>'1a. Incremental Deployment-2022'!J26+'1b. Incremental Deployment-2023'!J26+'1c. Incremental Deployment-2024'!J26+'1d. Incremental Deployment-2025'!J26</f>
        <v>0</v>
      </c>
      <c r="K26" s="66" t="s">
        <v>383</v>
      </c>
      <c r="L26" s="58" t="s">
        <v>383</v>
      </c>
      <c r="M26" s="58" t="s">
        <v>383</v>
      </c>
      <c r="N26" s="65" t="s">
        <v>383</v>
      </c>
      <c r="O26" s="58" t="s">
        <v>383</v>
      </c>
      <c r="P26" s="58" t="s">
        <v>383</v>
      </c>
      <c r="Q26" s="198" t="s">
        <v>383</v>
      </c>
      <c r="R26" s="65">
        <f>'1a. Incremental Deployment-2022'!R26+'1b. Incremental Deployment-2023'!R26+'1c. Incremental Deployment-2024'!R26+'1d. Incremental Deployment-2025'!R26</f>
        <v>0</v>
      </c>
      <c r="S26" s="58">
        <f>'1a. Incremental Deployment-2022'!S26+'1b. Incremental Deployment-2023'!S26+'1c. Incremental Deployment-2024'!S26+'1d. Incremental Deployment-2025'!S26</f>
        <v>0</v>
      </c>
      <c r="T26" s="58">
        <f>'1a. Incremental Deployment-2022'!T26+'1b. Incremental Deployment-2023'!T26+'1c. Incremental Deployment-2024'!T26+'1d. Incremental Deployment-2025'!T26</f>
        <v>0</v>
      </c>
      <c r="U26" s="203">
        <f>'1a. Incremental Deployment-2022'!U26+'1b. Incremental Deployment-2023'!U26+'1c. Incremental Deployment-2024'!U26+'1d. Incremental Deployment-2025'!U26</f>
        <v>0</v>
      </c>
      <c r="V26" s="65">
        <f>'1a. Incremental Deployment-2022'!V26+'1b. Incremental Deployment-2023'!V26+'1c. Incremental Deployment-2024'!V26+'1d. Incremental Deployment-2025'!V26</f>
        <v>0</v>
      </c>
      <c r="W26" s="65" t="s">
        <v>383</v>
      </c>
      <c r="X26" s="58" t="s">
        <v>383</v>
      </c>
      <c r="Y26" s="58" t="s">
        <v>383</v>
      </c>
      <c r="Z26" s="58" t="s">
        <v>383</v>
      </c>
      <c r="AA26" s="204">
        <f>'1a. Incremental Deployment-2022'!AA26+'1b. Incremental Deployment-2023'!AA26+'1c. Incremental Deployment-2024'!AA26+'1d. Incremental Deployment-2025'!AA26</f>
        <v>0</v>
      </c>
      <c r="AB26" s="69">
        <f>'1a. Incremental Deployment-2022'!AB26+'1b. Incremental Deployment-2023'!AB26+'1c. Incremental Deployment-2024'!AB26+'1d. Incremental Deployment-2025'!AB26</f>
        <v>0</v>
      </c>
      <c r="AC26" s="69" t="s">
        <v>383</v>
      </c>
      <c r="AD26" s="65" t="s">
        <v>383</v>
      </c>
      <c r="AE26" s="198" t="s">
        <v>383</v>
      </c>
      <c r="AF26" s="58">
        <f>'1a. Incremental Deployment-2022'!AF26+'1b. Incremental Deployment-2023'!AF26+'1c. Incremental Deployment-2024'!AF26+'1d. Incremental Deployment-2025'!AF26</f>
        <v>0</v>
      </c>
      <c r="AG26" s="204" t="s">
        <v>383</v>
      </c>
      <c r="AH26" s="69" t="s">
        <v>383</v>
      </c>
      <c r="AI26" s="69">
        <f>'1a. Incremental Deployment-2022'!AI26+'1b. Incremental Deployment-2023'!AI26+'1c. Incremental Deployment-2024'!AI26+'1d. Incremental Deployment-2025'!AI26</f>
        <v>0</v>
      </c>
      <c r="AJ26" s="69" t="s">
        <v>383</v>
      </c>
    </row>
    <row r="27" spans="1:36" s="123" customFormat="1" ht="30" customHeight="1" x14ac:dyDescent="0.3">
      <c r="A27" s="60" t="str">
        <f t="shared" si="0"/>
        <v>Unitil</v>
      </c>
      <c r="B27" s="66" t="s">
        <v>383</v>
      </c>
      <c r="C27" s="66" t="s">
        <v>383</v>
      </c>
      <c r="D27" s="58" t="s">
        <v>404</v>
      </c>
      <c r="E27" s="58" t="s">
        <v>385</v>
      </c>
      <c r="F27" s="58" t="s">
        <v>406</v>
      </c>
      <c r="G27" s="58" t="s">
        <v>385</v>
      </c>
      <c r="H27" s="10" t="s">
        <v>387</v>
      </c>
      <c r="I27" s="58">
        <f>'1a. Incremental Deployment-2022'!I27+'1b. Incremental Deployment-2023'!I27+'1c. Incremental Deployment-2024'!I27+'1d. Incremental Deployment-2025'!I27</f>
        <v>0</v>
      </c>
      <c r="J27" s="58">
        <f>'1a. Incremental Deployment-2022'!J27+'1b. Incremental Deployment-2023'!J27+'1c. Incremental Deployment-2024'!J27+'1d. Incremental Deployment-2025'!J27</f>
        <v>0</v>
      </c>
      <c r="K27" s="66" t="s">
        <v>383</v>
      </c>
      <c r="L27" s="58" t="s">
        <v>383</v>
      </c>
      <c r="M27" s="58" t="s">
        <v>383</v>
      </c>
      <c r="N27" s="65" t="s">
        <v>383</v>
      </c>
      <c r="O27" s="58" t="s">
        <v>383</v>
      </c>
      <c r="P27" s="58" t="s">
        <v>383</v>
      </c>
      <c r="Q27" s="198" t="s">
        <v>383</v>
      </c>
      <c r="R27" s="65">
        <f>'1a. Incremental Deployment-2022'!R27+'1b. Incremental Deployment-2023'!R27+'1c. Incremental Deployment-2024'!R27+'1d. Incremental Deployment-2025'!R27</f>
        <v>0</v>
      </c>
      <c r="S27" s="58">
        <f>'1a. Incremental Deployment-2022'!S27+'1b. Incremental Deployment-2023'!S27+'1c. Incremental Deployment-2024'!S27+'1d. Incremental Deployment-2025'!S27</f>
        <v>0</v>
      </c>
      <c r="T27" s="58">
        <f>'1a. Incremental Deployment-2022'!T27+'1b. Incremental Deployment-2023'!T27+'1c. Incremental Deployment-2024'!T27+'1d. Incremental Deployment-2025'!T27</f>
        <v>0</v>
      </c>
      <c r="U27" s="203">
        <f>'1a. Incremental Deployment-2022'!U27+'1b. Incremental Deployment-2023'!U27+'1c. Incremental Deployment-2024'!U27+'1d. Incremental Deployment-2025'!U27</f>
        <v>0</v>
      </c>
      <c r="V27" s="65">
        <f>'1a. Incremental Deployment-2022'!V27+'1b. Incremental Deployment-2023'!V27+'1c. Incremental Deployment-2024'!V27+'1d. Incremental Deployment-2025'!V27</f>
        <v>0</v>
      </c>
      <c r="W27" s="65" t="s">
        <v>383</v>
      </c>
      <c r="X27" s="58" t="s">
        <v>383</v>
      </c>
      <c r="Y27" s="58" t="s">
        <v>383</v>
      </c>
      <c r="Z27" s="58" t="s">
        <v>383</v>
      </c>
      <c r="AA27" s="204">
        <f>'1a. Incremental Deployment-2022'!AA27+'1b. Incremental Deployment-2023'!AA27+'1c. Incremental Deployment-2024'!AA27+'1d. Incremental Deployment-2025'!AA27</f>
        <v>0</v>
      </c>
      <c r="AB27" s="69">
        <f>'1a. Incremental Deployment-2022'!AB27+'1b. Incremental Deployment-2023'!AB27+'1c. Incremental Deployment-2024'!AB27+'1d. Incremental Deployment-2025'!AB27</f>
        <v>0</v>
      </c>
      <c r="AC27" s="69" t="s">
        <v>383</v>
      </c>
      <c r="AD27" s="65" t="s">
        <v>383</v>
      </c>
      <c r="AE27" s="198" t="s">
        <v>383</v>
      </c>
      <c r="AF27" s="58">
        <f>'1a. Incremental Deployment-2022'!AF27+'1b. Incremental Deployment-2023'!AF27+'1c. Incremental Deployment-2024'!AF27+'1d. Incremental Deployment-2025'!AF27</f>
        <v>0</v>
      </c>
      <c r="AG27" s="204" t="s">
        <v>383</v>
      </c>
      <c r="AH27" s="69" t="s">
        <v>383</v>
      </c>
      <c r="AI27" s="69">
        <f>'1a. Incremental Deployment-2022'!AI27+'1b. Incremental Deployment-2023'!AI27+'1c. Incremental Deployment-2024'!AI27+'1d. Incremental Deployment-2025'!AI27</f>
        <v>0</v>
      </c>
      <c r="AJ27" s="69" t="s">
        <v>383</v>
      </c>
    </row>
    <row r="28" spans="1:36" s="123" customFormat="1" ht="30" customHeight="1" x14ac:dyDescent="0.3">
      <c r="A28" s="60" t="str">
        <f t="shared" si="0"/>
        <v>Unitil</v>
      </c>
      <c r="B28" s="66" t="s">
        <v>383</v>
      </c>
      <c r="C28" s="66" t="s">
        <v>383</v>
      </c>
      <c r="D28" s="58" t="s">
        <v>404</v>
      </c>
      <c r="E28" s="58" t="s">
        <v>385</v>
      </c>
      <c r="F28" s="58" t="s">
        <v>407</v>
      </c>
      <c r="G28" s="58" t="s">
        <v>385</v>
      </c>
      <c r="H28" s="10" t="s">
        <v>387</v>
      </c>
      <c r="I28" s="58">
        <f>'1a. Incremental Deployment-2022'!I28+'1b. Incremental Deployment-2023'!I28+'1c. Incremental Deployment-2024'!I28+'1d. Incremental Deployment-2025'!I28</f>
        <v>0</v>
      </c>
      <c r="J28" s="58">
        <f>'1a. Incremental Deployment-2022'!J28+'1b. Incremental Deployment-2023'!J28+'1c. Incremental Deployment-2024'!J28+'1d. Incremental Deployment-2025'!J28</f>
        <v>0</v>
      </c>
      <c r="K28" s="66" t="s">
        <v>383</v>
      </c>
      <c r="L28" s="58" t="s">
        <v>383</v>
      </c>
      <c r="M28" s="58" t="s">
        <v>383</v>
      </c>
      <c r="N28" s="65" t="s">
        <v>383</v>
      </c>
      <c r="O28" s="58" t="s">
        <v>383</v>
      </c>
      <c r="P28" s="58" t="s">
        <v>383</v>
      </c>
      <c r="Q28" s="198" t="s">
        <v>383</v>
      </c>
      <c r="R28" s="65">
        <f>'1a. Incremental Deployment-2022'!R28+'1b. Incremental Deployment-2023'!R28+'1c. Incremental Deployment-2024'!R28+'1d. Incremental Deployment-2025'!R28</f>
        <v>0</v>
      </c>
      <c r="S28" s="58">
        <f>'1a. Incremental Deployment-2022'!S28+'1b. Incremental Deployment-2023'!S28+'1c. Incremental Deployment-2024'!S28+'1d. Incremental Deployment-2025'!S28</f>
        <v>0</v>
      </c>
      <c r="T28" s="58">
        <f>'1a. Incremental Deployment-2022'!T28+'1b. Incremental Deployment-2023'!T28+'1c. Incremental Deployment-2024'!T28+'1d. Incremental Deployment-2025'!T28</f>
        <v>0</v>
      </c>
      <c r="U28" s="203">
        <f>'1a. Incremental Deployment-2022'!U28+'1b. Incremental Deployment-2023'!U28+'1c. Incremental Deployment-2024'!U28+'1d. Incremental Deployment-2025'!U28</f>
        <v>0</v>
      </c>
      <c r="V28" s="65">
        <f>'1a. Incremental Deployment-2022'!V28+'1b. Incremental Deployment-2023'!V28+'1c. Incremental Deployment-2024'!V28+'1d. Incremental Deployment-2025'!V28</f>
        <v>0</v>
      </c>
      <c r="W28" s="65" t="s">
        <v>383</v>
      </c>
      <c r="X28" s="58" t="s">
        <v>383</v>
      </c>
      <c r="Y28" s="58" t="s">
        <v>383</v>
      </c>
      <c r="Z28" s="58" t="s">
        <v>383</v>
      </c>
      <c r="AA28" s="204">
        <f>'1a. Incremental Deployment-2022'!AA28+'1b. Incremental Deployment-2023'!AA28+'1c. Incremental Deployment-2024'!AA28+'1d. Incremental Deployment-2025'!AA28</f>
        <v>0</v>
      </c>
      <c r="AB28" s="69">
        <f>'1a. Incremental Deployment-2022'!AB28+'1b. Incremental Deployment-2023'!AB28+'1c. Incremental Deployment-2024'!AB28+'1d. Incremental Deployment-2025'!AB28</f>
        <v>0</v>
      </c>
      <c r="AC28" s="69" t="s">
        <v>383</v>
      </c>
      <c r="AD28" s="65" t="s">
        <v>383</v>
      </c>
      <c r="AE28" s="198" t="s">
        <v>383</v>
      </c>
      <c r="AF28" s="58">
        <f>'1a. Incremental Deployment-2022'!AF28+'1b. Incremental Deployment-2023'!AF28+'1c. Incremental Deployment-2024'!AF28+'1d. Incremental Deployment-2025'!AF28</f>
        <v>0</v>
      </c>
      <c r="AG28" s="204" t="s">
        <v>383</v>
      </c>
      <c r="AH28" s="69" t="s">
        <v>383</v>
      </c>
      <c r="AI28" s="69">
        <f>'1a. Incremental Deployment-2022'!AI28+'1b. Incremental Deployment-2023'!AI28+'1c. Incremental Deployment-2024'!AI28+'1d. Incremental Deployment-2025'!AI28</f>
        <v>0</v>
      </c>
      <c r="AJ28" s="69" t="s">
        <v>383</v>
      </c>
    </row>
    <row r="29" spans="1:36" s="123" customFormat="1" ht="30" customHeight="1" x14ac:dyDescent="0.3">
      <c r="A29" s="60" t="str">
        <f t="shared" si="0"/>
        <v>Unitil</v>
      </c>
      <c r="B29" s="66" t="s">
        <v>383</v>
      </c>
      <c r="C29" s="66" t="s">
        <v>383</v>
      </c>
      <c r="D29" s="58" t="s">
        <v>404</v>
      </c>
      <c r="E29" s="58" t="s">
        <v>385</v>
      </c>
      <c r="F29" s="58" t="s">
        <v>408</v>
      </c>
      <c r="G29" s="58" t="s">
        <v>385</v>
      </c>
      <c r="H29" s="10" t="s">
        <v>387</v>
      </c>
      <c r="I29" s="58">
        <f>'1a. Incremental Deployment-2022'!I29+'1b. Incremental Deployment-2023'!I29+'1c. Incremental Deployment-2024'!I29+'1d. Incremental Deployment-2025'!I29</f>
        <v>0</v>
      </c>
      <c r="J29" s="58">
        <f>'1a. Incremental Deployment-2022'!J29+'1b. Incremental Deployment-2023'!J29+'1c. Incremental Deployment-2024'!J29+'1d. Incremental Deployment-2025'!J29</f>
        <v>0</v>
      </c>
      <c r="K29" s="66" t="s">
        <v>383</v>
      </c>
      <c r="L29" s="58" t="s">
        <v>383</v>
      </c>
      <c r="M29" s="58" t="s">
        <v>383</v>
      </c>
      <c r="N29" s="65" t="s">
        <v>383</v>
      </c>
      <c r="O29" s="58" t="s">
        <v>383</v>
      </c>
      <c r="P29" s="58" t="s">
        <v>383</v>
      </c>
      <c r="Q29" s="198" t="s">
        <v>383</v>
      </c>
      <c r="R29" s="65">
        <f>'1a. Incremental Deployment-2022'!R29+'1b. Incremental Deployment-2023'!R29+'1c. Incremental Deployment-2024'!R29+'1d. Incremental Deployment-2025'!R29</f>
        <v>0</v>
      </c>
      <c r="S29" s="58">
        <f>'1a. Incremental Deployment-2022'!S29+'1b. Incremental Deployment-2023'!S29+'1c. Incremental Deployment-2024'!S29+'1d. Incremental Deployment-2025'!S29</f>
        <v>0</v>
      </c>
      <c r="T29" s="58">
        <f>'1a. Incremental Deployment-2022'!T29+'1b. Incremental Deployment-2023'!T29+'1c. Incremental Deployment-2024'!T29+'1d. Incremental Deployment-2025'!T29</f>
        <v>0</v>
      </c>
      <c r="U29" s="203">
        <f>'1a. Incremental Deployment-2022'!U29+'1b. Incremental Deployment-2023'!U29+'1c. Incremental Deployment-2024'!U29+'1d. Incremental Deployment-2025'!U29</f>
        <v>0</v>
      </c>
      <c r="V29" s="65">
        <f>'1a. Incremental Deployment-2022'!V29+'1b. Incremental Deployment-2023'!V29+'1c. Incremental Deployment-2024'!V29+'1d. Incremental Deployment-2025'!V29</f>
        <v>0</v>
      </c>
      <c r="W29" s="65" t="s">
        <v>383</v>
      </c>
      <c r="X29" s="58" t="s">
        <v>383</v>
      </c>
      <c r="Y29" s="58" t="s">
        <v>383</v>
      </c>
      <c r="Z29" s="58" t="s">
        <v>383</v>
      </c>
      <c r="AA29" s="204">
        <f>'1a. Incremental Deployment-2022'!AA29+'1b. Incremental Deployment-2023'!AA29+'1c. Incremental Deployment-2024'!AA29+'1d. Incremental Deployment-2025'!AA29</f>
        <v>0</v>
      </c>
      <c r="AB29" s="69">
        <f>'1a. Incremental Deployment-2022'!AB29+'1b. Incremental Deployment-2023'!AB29+'1c. Incremental Deployment-2024'!AB29+'1d. Incremental Deployment-2025'!AB29</f>
        <v>0</v>
      </c>
      <c r="AC29" s="69" t="s">
        <v>383</v>
      </c>
      <c r="AD29" s="65" t="s">
        <v>383</v>
      </c>
      <c r="AE29" s="198" t="s">
        <v>383</v>
      </c>
      <c r="AF29" s="58">
        <f>'1a. Incremental Deployment-2022'!AF29+'1b. Incremental Deployment-2023'!AF29+'1c. Incremental Deployment-2024'!AF29+'1d. Incremental Deployment-2025'!AF29</f>
        <v>0</v>
      </c>
      <c r="AG29" s="204" t="s">
        <v>383</v>
      </c>
      <c r="AH29" s="69" t="s">
        <v>383</v>
      </c>
      <c r="AI29" s="69">
        <f>'1a. Incremental Deployment-2022'!AI29+'1b. Incremental Deployment-2023'!AI29+'1c. Incremental Deployment-2024'!AI29+'1d. Incremental Deployment-2025'!AI29</f>
        <v>0</v>
      </c>
      <c r="AJ29" s="69" t="s">
        <v>383</v>
      </c>
    </row>
    <row r="30" spans="1:36" s="123" customFormat="1" ht="30" customHeight="1" x14ac:dyDescent="0.3">
      <c r="A30" s="60" t="str">
        <f t="shared" si="0"/>
        <v>Unitil</v>
      </c>
      <c r="B30" s="66" t="s">
        <v>383</v>
      </c>
      <c r="C30" s="66" t="s">
        <v>383</v>
      </c>
      <c r="D30" s="58" t="s">
        <v>404</v>
      </c>
      <c r="E30" s="58" t="s">
        <v>385</v>
      </c>
      <c r="F30" s="58" t="s">
        <v>409</v>
      </c>
      <c r="G30" s="58" t="s">
        <v>385</v>
      </c>
      <c r="H30" s="10" t="s">
        <v>387</v>
      </c>
      <c r="I30" s="58">
        <f>'1a. Incremental Deployment-2022'!I30+'1b. Incremental Deployment-2023'!I30+'1c. Incremental Deployment-2024'!I30+'1d. Incremental Deployment-2025'!I30</f>
        <v>0</v>
      </c>
      <c r="J30" s="58">
        <f>'1a. Incremental Deployment-2022'!J30+'1b. Incremental Deployment-2023'!J30+'1c. Incremental Deployment-2024'!J30+'1d. Incremental Deployment-2025'!J30</f>
        <v>0</v>
      </c>
      <c r="K30" s="66" t="s">
        <v>383</v>
      </c>
      <c r="L30" s="58" t="s">
        <v>383</v>
      </c>
      <c r="M30" s="58" t="s">
        <v>383</v>
      </c>
      <c r="N30" s="65" t="s">
        <v>383</v>
      </c>
      <c r="O30" s="58" t="s">
        <v>383</v>
      </c>
      <c r="P30" s="58" t="s">
        <v>383</v>
      </c>
      <c r="Q30" s="198" t="s">
        <v>383</v>
      </c>
      <c r="R30" s="65">
        <f>'1a. Incremental Deployment-2022'!R30+'1b. Incremental Deployment-2023'!R30+'1c. Incremental Deployment-2024'!R30+'1d. Incremental Deployment-2025'!R30</f>
        <v>0</v>
      </c>
      <c r="S30" s="58">
        <f>'1a. Incremental Deployment-2022'!S30+'1b. Incremental Deployment-2023'!S30+'1c. Incremental Deployment-2024'!S30+'1d. Incremental Deployment-2025'!S30</f>
        <v>0</v>
      </c>
      <c r="T30" s="58">
        <f>'1a. Incremental Deployment-2022'!T30+'1b. Incremental Deployment-2023'!T30+'1c. Incremental Deployment-2024'!T30+'1d. Incremental Deployment-2025'!T30</f>
        <v>0</v>
      </c>
      <c r="U30" s="203">
        <f>'1a. Incremental Deployment-2022'!U30+'1b. Incremental Deployment-2023'!U30+'1c. Incremental Deployment-2024'!U30+'1d. Incremental Deployment-2025'!U30</f>
        <v>0</v>
      </c>
      <c r="V30" s="65">
        <f>'1a. Incremental Deployment-2022'!V30+'1b. Incremental Deployment-2023'!V30+'1c. Incremental Deployment-2024'!V30+'1d. Incremental Deployment-2025'!V30</f>
        <v>0</v>
      </c>
      <c r="W30" s="65" t="s">
        <v>383</v>
      </c>
      <c r="X30" s="58" t="s">
        <v>383</v>
      </c>
      <c r="Y30" s="58" t="s">
        <v>383</v>
      </c>
      <c r="Z30" s="58" t="s">
        <v>383</v>
      </c>
      <c r="AA30" s="204">
        <f>'1a. Incremental Deployment-2022'!AA30+'1b. Incremental Deployment-2023'!AA30+'1c. Incremental Deployment-2024'!AA30+'1d. Incremental Deployment-2025'!AA30</f>
        <v>0</v>
      </c>
      <c r="AB30" s="69">
        <f>'1a. Incremental Deployment-2022'!AB30+'1b. Incremental Deployment-2023'!AB30+'1c. Incremental Deployment-2024'!AB30+'1d. Incremental Deployment-2025'!AB30</f>
        <v>0</v>
      </c>
      <c r="AC30" s="69" t="s">
        <v>383</v>
      </c>
      <c r="AD30" s="65" t="s">
        <v>383</v>
      </c>
      <c r="AE30" s="198" t="s">
        <v>383</v>
      </c>
      <c r="AF30" s="58">
        <f>'1a. Incremental Deployment-2022'!AF30+'1b. Incremental Deployment-2023'!AF30+'1c. Incremental Deployment-2024'!AF30+'1d. Incremental Deployment-2025'!AF30</f>
        <v>0</v>
      </c>
      <c r="AG30" s="204" t="s">
        <v>383</v>
      </c>
      <c r="AH30" s="69" t="s">
        <v>383</v>
      </c>
      <c r="AI30" s="69">
        <f>'1a. Incremental Deployment-2022'!AI30+'1b. Incremental Deployment-2023'!AI30+'1c. Incremental Deployment-2024'!AI30+'1d. Incremental Deployment-2025'!AI30</f>
        <v>0</v>
      </c>
      <c r="AJ30" s="69" t="s">
        <v>383</v>
      </c>
    </row>
    <row r="31" spans="1:36" s="123" customFormat="1" ht="30" customHeight="1" x14ac:dyDescent="0.3">
      <c r="A31" s="60" t="str">
        <f t="shared" si="0"/>
        <v>Unitil</v>
      </c>
      <c r="B31" s="66" t="s">
        <v>383</v>
      </c>
      <c r="C31" s="66" t="s">
        <v>383</v>
      </c>
      <c r="D31" s="58" t="s">
        <v>404</v>
      </c>
      <c r="E31" s="58" t="s">
        <v>385</v>
      </c>
      <c r="F31" s="58" t="s">
        <v>410</v>
      </c>
      <c r="G31" s="58" t="s">
        <v>385</v>
      </c>
      <c r="H31" s="10" t="s">
        <v>387</v>
      </c>
      <c r="I31" s="58">
        <f>'1a. Incremental Deployment-2022'!I31+'1b. Incremental Deployment-2023'!I31+'1c. Incremental Deployment-2024'!I31+'1d. Incremental Deployment-2025'!I31</f>
        <v>0</v>
      </c>
      <c r="J31" s="58">
        <f>'1a. Incremental Deployment-2022'!J31+'1b. Incremental Deployment-2023'!J31+'1c. Incremental Deployment-2024'!J31+'1d. Incremental Deployment-2025'!J31</f>
        <v>0</v>
      </c>
      <c r="K31" s="66" t="s">
        <v>383</v>
      </c>
      <c r="L31" s="58" t="s">
        <v>383</v>
      </c>
      <c r="M31" s="58" t="s">
        <v>383</v>
      </c>
      <c r="N31" s="65" t="s">
        <v>383</v>
      </c>
      <c r="O31" s="58" t="s">
        <v>383</v>
      </c>
      <c r="P31" s="58" t="s">
        <v>383</v>
      </c>
      <c r="Q31" s="198" t="s">
        <v>383</v>
      </c>
      <c r="R31" s="65">
        <f>'1a. Incremental Deployment-2022'!R31+'1b. Incremental Deployment-2023'!R31+'1c. Incremental Deployment-2024'!R31+'1d. Incremental Deployment-2025'!R31</f>
        <v>0</v>
      </c>
      <c r="S31" s="58">
        <f>'1a. Incremental Deployment-2022'!S31+'1b. Incremental Deployment-2023'!S31+'1c. Incremental Deployment-2024'!S31+'1d. Incremental Deployment-2025'!S31</f>
        <v>0</v>
      </c>
      <c r="T31" s="58">
        <f>'1a. Incremental Deployment-2022'!T31+'1b. Incremental Deployment-2023'!T31+'1c. Incremental Deployment-2024'!T31+'1d. Incremental Deployment-2025'!T31</f>
        <v>0</v>
      </c>
      <c r="U31" s="203">
        <f>'1a. Incremental Deployment-2022'!U31+'1b. Incremental Deployment-2023'!U31+'1c. Incremental Deployment-2024'!U31+'1d. Incremental Deployment-2025'!U31</f>
        <v>0</v>
      </c>
      <c r="V31" s="65">
        <f>'1a. Incremental Deployment-2022'!V31+'1b. Incremental Deployment-2023'!V31+'1c. Incremental Deployment-2024'!V31+'1d. Incremental Deployment-2025'!V31</f>
        <v>0</v>
      </c>
      <c r="W31" s="65" t="s">
        <v>383</v>
      </c>
      <c r="X31" s="58" t="s">
        <v>383</v>
      </c>
      <c r="Y31" s="58" t="s">
        <v>383</v>
      </c>
      <c r="Z31" s="58" t="s">
        <v>383</v>
      </c>
      <c r="AA31" s="204">
        <f>'1a. Incremental Deployment-2022'!AA31+'1b. Incremental Deployment-2023'!AA31+'1c. Incremental Deployment-2024'!AA31+'1d. Incremental Deployment-2025'!AA31</f>
        <v>0</v>
      </c>
      <c r="AB31" s="69">
        <f>'1a. Incremental Deployment-2022'!AB31+'1b. Incremental Deployment-2023'!AB31+'1c. Incremental Deployment-2024'!AB31+'1d. Incremental Deployment-2025'!AB31</f>
        <v>0</v>
      </c>
      <c r="AC31" s="69" t="s">
        <v>383</v>
      </c>
      <c r="AD31" s="65" t="s">
        <v>383</v>
      </c>
      <c r="AE31" s="198" t="s">
        <v>383</v>
      </c>
      <c r="AF31" s="58">
        <f>'1a. Incremental Deployment-2022'!AF31+'1b. Incremental Deployment-2023'!AF31+'1c. Incremental Deployment-2024'!AF31+'1d. Incremental Deployment-2025'!AF31</f>
        <v>0</v>
      </c>
      <c r="AG31" s="204" t="s">
        <v>383</v>
      </c>
      <c r="AH31" s="69" t="s">
        <v>383</v>
      </c>
      <c r="AI31" s="69">
        <f>'1a. Incremental Deployment-2022'!AI31+'1b. Incremental Deployment-2023'!AI31+'1c. Incremental Deployment-2024'!AI31+'1d. Incremental Deployment-2025'!AI31</f>
        <v>0</v>
      </c>
      <c r="AJ31" s="69" t="s">
        <v>383</v>
      </c>
    </row>
    <row r="32" spans="1:36" s="123" customFormat="1" ht="30" customHeight="1" x14ac:dyDescent="0.3">
      <c r="A32" s="60" t="str">
        <f t="shared" si="0"/>
        <v>Unitil</v>
      </c>
      <c r="B32" s="66" t="s">
        <v>383</v>
      </c>
      <c r="C32" s="66" t="s">
        <v>383</v>
      </c>
      <c r="D32" s="58" t="s">
        <v>404</v>
      </c>
      <c r="E32" s="58" t="s">
        <v>385</v>
      </c>
      <c r="F32" s="58" t="s">
        <v>411</v>
      </c>
      <c r="G32" s="58" t="s">
        <v>385</v>
      </c>
      <c r="H32" s="10" t="s">
        <v>387</v>
      </c>
      <c r="I32" s="58">
        <f>'1a. Incremental Deployment-2022'!I32+'1b. Incremental Deployment-2023'!I32+'1c. Incremental Deployment-2024'!I32+'1d. Incremental Deployment-2025'!I32</f>
        <v>0</v>
      </c>
      <c r="J32" s="58">
        <f>'1a. Incremental Deployment-2022'!J32+'1b. Incremental Deployment-2023'!J32+'1c. Incremental Deployment-2024'!J32+'1d. Incremental Deployment-2025'!J32</f>
        <v>0</v>
      </c>
      <c r="K32" s="66" t="s">
        <v>383</v>
      </c>
      <c r="L32" s="58" t="s">
        <v>383</v>
      </c>
      <c r="M32" s="58" t="s">
        <v>383</v>
      </c>
      <c r="N32" s="65" t="s">
        <v>383</v>
      </c>
      <c r="O32" s="58" t="s">
        <v>383</v>
      </c>
      <c r="P32" s="58" t="s">
        <v>383</v>
      </c>
      <c r="Q32" s="198" t="s">
        <v>383</v>
      </c>
      <c r="R32" s="65">
        <f>'1a. Incremental Deployment-2022'!R32+'1b. Incremental Deployment-2023'!R32+'1c. Incremental Deployment-2024'!R32+'1d. Incremental Deployment-2025'!R32</f>
        <v>0</v>
      </c>
      <c r="S32" s="58">
        <f>'1a. Incremental Deployment-2022'!S32+'1b. Incremental Deployment-2023'!S32+'1c. Incremental Deployment-2024'!S32+'1d. Incremental Deployment-2025'!S32</f>
        <v>0</v>
      </c>
      <c r="T32" s="58">
        <f>'1a. Incremental Deployment-2022'!T32+'1b. Incremental Deployment-2023'!T32+'1c. Incremental Deployment-2024'!T32+'1d. Incremental Deployment-2025'!T32</f>
        <v>0</v>
      </c>
      <c r="U32" s="203">
        <f>'1a. Incremental Deployment-2022'!U32+'1b. Incremental Deployment-2023'!U32+'1c. Incremental Deployment-2024'!U32+'1d. Incremental Deployment-2025'!U32</f>
        <v>0</v>
      </c>
      <c r="V32" s="65">
        <f>'1a. Incremental Deployment-2022'!V32+'1b. Incremental Deployment-2023'!V32+'1c. Incremental Deployment-2024'!V32+'1d. Incremental Deployment-2025'!V32</f>
        <v>0</v>
      </c>
      <c r="W32" s="65" t="s">
        <v>383</v>
      </c>
      <c r="X32" s="58" t="s">
        <v>383</v>
      </c>
      <c r="Y32" s="58" t="s">
        <v>383</v>
      </c>
      <c r="Z32" s="58" t="s">
        <v>383</v>
      </c>
      <c r="AA32" s="204">
        <f>'1a. Incremental Deployment-2022'!AA32+'1b. Incremental Deployment-2023'!AA32+'1c. Incremental Deployment-2024'!AA32+'1d. Incremental Deployment-2025'!AA32</f>
        <v>0</v>
      </c>
      <c r="AB32" s="69">
        <f>'1a. Incremental Deployment-2022'!AB32+'1b. Incremental Deployment-2023'!AB32+'1c. Incremental Deployment-2024'!AB32+'1d. Incremental Deployment-2025'!AB32</f>
        <v>0</v>
      </c>
      <c r="AC32" s="69" t="s">
        <v>383</v>
      </c>
      <c r="AD32" s="65" t="s">
        <v>383</v>
      </c>
      <c r="AE32" s="198" t="s">
        <v>383</v>
      </c>
      <c r="AF32" s="58">
        <f>'1a. Incremental Deployment-2022'!AF32+'1b. Incremental Deployment-2023'!AF32+'1c. Incremental Deployment-2024'!AF32+'1d. Incremental Deployment-2025'!AF32</f>
        <v>0</v>
      </c>
      <c r="AG32" s="204" t="s">
        <v>383</v>
      </c>
      <c r="AH32" s="69" t="s">
        <v>383</v>
      </c>
      <c r="AI32" s="69">
        <f>'1a. Incremental Deployment-2022'!AI32+'1b. Incremental Deployment-2023'!AI32+'1c. Incremental Deployment-2024'!AI32+'1d. Incremental Deployment-2025'!AI32</f>
        <v>0</v>
      </c>
      <c r="AJ32" s="69" t="s">
        <v>383</v>
      </c>
    </row>
    <row r="33" spans="1:36" s="123" customFormat="1" ht="30" customHeight="1" x14ac:dyDescent="0.3">
      <c r="A33" s="60" t="str">
        <f t="shared" si="0"/>
        <v>Unitil</v>
      </c>
      <c r="B33" s="66" t="s">
        <v>383</v>
      </c>
      <c r="C33" s="66" t="s">
        <v>383</v>
      </c>
      <c r="D33" s="58" t="s">
        <v>404</v>
      </c>
      <c r="E33" s="58" t="s">
        <v>385</v>
      </c>
      <c r="F33" s="58" t="s">
        <v>412</v>
      </c>
      <c r="G33" s="58" t="s">
        <v>385</v>
      </c>
      <c r="H33" s="10" t="s">
        <v>387</v>
      </c>
      <c r="I33" s="58">
        <f>'1a. Incremental Deployment-2022'!I33+'1b. Incremental Deployment-2023'!I33+'1c. Incremental Deployment-2024'!I33+'1d. Incremental Deployment-2025'!I33</f>
        <v>0</v>
      </c>
      <c r="J33" s="58">
        <f>'1a. Incremental Deployment-2022'!J33+'1b. Incremental Deployment-2023'!J33+'1c. Incremental Deployment-2024'!J33+'1d. Incremental Deployment-2025'!J33</f>
        <v>0</v>
      </c>
      <c r="K33" s="66" t="s">
        <v>383</v>
      </c>
      <c r="L33" s="58" t="s">
        <v>383</v>
      </c>
      <c r="M33" s="58" t="s">
        <v>383</v>
      </c>
      <c r="N33" s="65" t="s">
        <v>383</v>
      </c>
      <c r="O33" s="58" t="s">
        <v>383</v>
      </c>
      <c r="P33" s="58" t="s">
        <v>383</v>
      </c>
      <c r="Q33" s="198" t="s">
        <v>383</v>
      </c>
      <c r="R33" s="65">
        <f>'1a. Incremental Deployment-2022'!R33+'1b. Incremental Deployment-2023'!R33+'1c. Incremental Deployment-2024'!R33+'1d. Incremental Deployment-2025'!R33</f>
        <v>0</v>
      </c>
      <c r="S33" s="58">
        <f>'1a. Incremental Deployment-2022'!S33+'1b. Incremental Deployment-2023'!S33+'1c. Incremental Deployment-2024'!S33+'1d. Incremental Deployment-2025'!S33</f>
        <v>0</v>
      </c>
      <c r="T33" s="58">
        <f>'1a. Incremental Deployment-2022'!T33+'1b. Incremental Deployment-2023'!T33+'1c. Incremental Deployment-2024'!T33+'1d. Incremental Deployment-2025'!T33</f>
        <v>0</v>
      </c>
      <c r="U33" s="203">
        <f>'1a. Incremental Deployment-2022'!U33+'1b. Incremental Deployment-2023'!U33+'1c. Incremental Deployment-2024'!U33+'1d. Incremental Deployment-2025'!U33</f>
        <v>0</v>
      </c>
      <c r="V33" s="65">
        <f>'1a. Incremental Deployment-2022'!V33+'1b. Incremental Deployment-2023'!V33+'1c. Incremental Deployment-2024'!V33+'1d. Incremental Deployment-2025'!V33</f>
        <v>0</v>
      </c>
      <c r="W33" s="65" t="s">
        <v>383</v>
      </c>
      <c r="X33" s="58" t="s">
        <v>383</v>
      </c>
      <c r="Y33" s="58" t="s">
        <v>383</v>
      </c>
      <c r="Z33" s="58" t="s">
        <v>383</v>
      </c>
      <c r="AA33" s="204">
        <f>'1a. Incremental Deployment-2022'!AA33+'1b. Incremental Deployment-2023'!AA33+'1c. Incremental Deployment-2024'!AA33+'1d. Incremental Deployment-2025'!AA33</f>
        <v>0</v>
      </c>
      <c r="AB33" s="69">
        <f>'1a. Incremental Deployment-2022'!AB33+'1b. Incremental Deployment-2023'!AB33+'1c. Incremental Deployment-2024'!AB33+'1d. Incremental Deployment-2025'!AB33</f>
        <v>0</v>
      </c>
      <c r="AC33" s="69" t="s">
        <v>383</v>
      </c>
      <c r="AD33" s="65" t="s">
        <v>383</v>
      </c>
      <c r="AE33" s="198" t="s">
        <v>383</v>
      </c>
      <c r="AF33" s="58">
        <f>'1a. Incremental Deployment-2022'!AF33+'1b. Incremental Deployment-2023'!AF33+'1c. Incremental Deployment-2024'!AF33+'1d. Incremental Deployment-2025'!AF33</f>
        <v>0</v>
      </c>
      <c r="AG33" s="204" t="s">
        <v>383</v>
      </c>
      <c r="AH33" s="69" t="s">
        <v>383</v>
      </c>
      <c r="AI33" s="69">
        <f>'1a. Incremental Deployment-2022'!AI33+'1b. Incremental Deployment-2023'!AI33+'1c. Incremental Deployment-2024'!AI33+'1d. Incremental Deployment-2025'!AI33</f>
        <v>0</v>
      </c>
      <c r="AJ33" s="69" t="s">
        <v>383</v>
      </c>
    </row>
    <row r="34" spans="1:36" s="123" customFormat="1" ht="30" customHeight="1" x14ac:dyDescent="0.3">
      <c r="A34" s="60" t="str">
        <f t="shared" si="0"/>
        <v>Unitil</v>
      </c>
      <c r="B34" s="66" t="s">
        <v>383</v>
      </c>
      <c r="C34" s="66" t="s">
        <v>383</v>
      </c>
      <c r="D34" s="58" t="s">
        <v>404</v>
      </c>
      <c r="E34" s="58" t="s">
        <v>385</v>
      </c>
      <c r="F34" s="58" t="s">
        <v>413</v>
      </c>
      <c r="G34" s="58" t="s">
        <v>385</v>
      </c>
      <c r="H34" s="10" t="s">
        <v>387</v>
      </c>
      <c r="I34" s="58">
        <f>'1a. Incremental Deployment-2022'!I34+'1b. Incremental Deployment-2023'!I34+'1c. Incremental Deployment-2024'!I34+'1d. Incremental Deployment-2025'!I34</f>
        <v>0</v>
      </c>
      <c r="J34" s="58">
        <f>'1a. Incremental Deployment-2022'!J34+'1b. Incremental Deployment-2023'!J34+'1c. Incremental Deployment-2024'!J34+'1d. Incremental Deployment-2025'!J34</f>
        <v>0</v>
      </c>
      <c r="K34" s="66" t="s">
        <v>383</v>
      </c>
      <c r="L34" s="58" t="s">
        <v>383</v>
      </c>
      <c r="M34" s="58" t="s">
        <v>383</v>
      </c>
      <c r="N34" s="65" t="s">
        <v>383</v>
      </c>
      <c r="O34" s="58" t="s">
        <v>383</v>
      </c>
      <c r="P34" s="58" t="s">
        <v>383</v>
      </c>
      <c r="Q34" s="198" t="s">
        <v>383</v>
      </c>
      <c r="R34" s="65">
        <f>'1a. Incremental Deployment-2022'!R34+'1b. Incremental Deployment-2023'!R34+'1c. Incremental Deployment-2024'!R34+'1d. Incremental Deployment-2025'!R34</f>
        <v>0</v>
      </c>
      <c r="S34" s="58">
        <f>'1a. Incremental Deployment-2022'!S34+'1b. Incremental Deployment-2023'!S34+'1c. Incremental Deployment-2024'!S34+'1d. Incremental Deployment-2025'!S34</f>
        <v>0</v>
      </c>
      <c r="T34" s="58">
        <f>'1a. Incremental Deployment-2022'!T34+'1b. Incremental Deployment-2023'!T34+'1c. Incremental Deployment-2024'!T34+'1d. Incremental Deployment-2025'!T34</f>
        <v>0</v>
      </c>
      <c r="U34" s="203">
        <f>'1a. Incremental Deployment-2022'!U34+'1b. Incremental Deployment-2023'!U34+'1c. Incremental Deployment-2024'!U34+'1d. Incremental Deployment-2025'!U34</f>
        <v>0</v>
      </c>
      <c r="V34" s="65">
        <f>'1a. Incremental Deployment-2022'!V34+'1b. Incremental Deployment-2023'!V34+'1c. Incremental Deployment-2024'!V34+'1d. Incremental Deployment-2025'!V34</f>
        <v>0</v>
      </c>
      <c r="W34" s="65" t="s">
        <v>383</v>
      </c>
      <c r="X34" s="58" t="s">
        <v>383</v>
      </c>
      <c r="Y34" s="58" t="s">
        <v>383</v>
      </c>
      <c r="Z34" s="58" t="s">
        <v>383</v>
      </c>
      <c r="AA34" s="204">
        <f>'1a. Incremental Deployment-2022'!AA34+'1b. Incremental Deployment-2023'!AA34+'1c. Incremental Deployment-2024'!AA34+'1d. Incremental Deployment-2025'!AA34</f>
        <v>0</v>
      </c>
      <c r="AB34" s="69">
        <f>'1a. Incremental Deployment-2022'!AB34+'1b. Incremental Deployment-2023'!AB34+'1c. Incremental Deployment-2024'!AB34+'1d. Incremental Deployment-2025'!AB34</f>
        <v>0</v>
      </c>
      <c r="AC34" s="69" t="s">
        <v>383</v>
      </c>
      <c r="AD34" s="65" t="s">
        <v>383</v>
      </c>
      <c r="AE34" s="198" t="s">
        <v>383</v>
      </c>
      <c r="AF34" s="58">
        <f>'1a. Incremental Deployment-2022'!AF34+'1b. Incremental Deployment-2023'!AF34+'1c. Incremental Deployment-2024'!AF34+'1d. Incremental Deployment-2025'!AF34</f>
        <v>0</v>
      </c>
      <c r="AG34" s="204" t="s">
        <v>383</v>
      </c>
      <c r="AH34" s="69" t="s">
        <v>383</v>
      </c>
      <c r="AI34" s="69">
        <f>'1a. Incremental Deployment-2022'!AI34+'1b. Incremental Deployment-2023'!AI34+'1c. Incremental Deployment-2024'!AI34+'1d. Incremental Deployment-2025'!AI34</f>
        <v>0</v>
      </c>
      <c r="AJ34" s="69" t="s">
        <v>383</v>
      </c>
    </row>
    <row r="35" spans="1:36" s="123" customFormat="1" ht="30" customHeight="1" x14ac:dyDescent="0.3">
      <c r="A35" s="60" t="str">
        <f t="shared" si="0"/>
        <v>Unitil</v>
      </c>
      <c r="B35" s="66" t="s">
        <v>383</v>
      </c>
      <c r="C35" s="66" t="s">
        <v>383</v>
      </c>
      <c r="D35" s="58" t="s">
        <v>404</v>
      </c>
      <c r="E35" s="58" t="s">
        <v>385</v>
      </c>
      <c r="F35" s="496"/>
      <c r="G35" s="496"/>
      <c r="H35" s="497"/>
      <c r="I35" s="58">
        <f>'1a. Incremental Deployment-2022'!I35+'1b. Incremental Deployment-2023'!I35+'1c. Incremental Deployment-2024'!I35+'1d. Incremental Deployment-2025'!I35</f>
        <v>0</v>
      </c>
      <c r="J35" s="58">
        <f>'1a. Incremental Deployment-2022'!J35+'1b. Incremental Deployment-2023'!J35+'1c. Incremental Deployment-2024'!J35+'1d. Incremental Deployment-2025'!J35</f>
        <v>0</v>
      </c>
      <c r="K35" s="66" t="s">
        <v>383</v>
      </c>
      <c r="L35" s="58" t="s">
        <v>383</v>
      </c>
      <c r="M35" s="58" t="s">
        <v>383</v>
      </c>
      <c r="N35" s="65" t="s">
        <v>383</v>
      </c>
      <c r="O35" s="58" t="s">
        <v>383</v>
      </c>
      <c r="P35" s="58" t="s">
        <v>383</v>
      </c>
      <c r="Q35" s="198" t="s">
        <v>383</v>
      </c>
      <c r="R35" s="65">
        <f>'1a. Incremental Deployment-2022'!R35+'1b. Incremental Deployment-2023'!R35+'1c. Incremental Deployment-2024'!R35+'1d. Incremental Deployment-2025'!R35</f>
        <v>0</v>
      </c>
      <c r="S35" s="58">
        <f>'1a. Incremental Deployment-2022'!S35+'1b. Incremental Deployment-2023'!S35+'1c. Incremental Deployment-2024'!S35+'1d. Incremental Deployment-2025'!S35</f>
        <v>0</v>
      </c>
      <c r="T35" s="58">
        <f>'1a. Incremental Deployment-2022'!T35+'1b. Incremental Deployment-2023'!T35+'1c. Incremental Deployment-2024'!T35+'1d. Incremental Deployment-2025'!T35</f>
        <v>0</v>
      </c>
      <c r="U35" s="203">
        <f>'1a. Incremental Deployment-2022'!U35+'1b. Incremental Deployment-2023'!U35+'1c. Incremental Deployment-2024'!U35+'1d. Incremental Deployment-2025'!U35</f>
        <v>0</v>
      </c>
      <c r="V35" s="65">
        <f>'1a. Incremental Deployment-2022'!V35+'1b. Incremental Deployment-2023'!V35+'1c. Incremental Deployment-2024'!V35+'1d. Incremental Deployment-2025'!V35</f>
        <v>0</v>
      </c>
      <c r="W35" s="65" t="s">
        <v>383</v>
      </c>
      <c r="X35" s="58" t="s">
        <v>383</v>
      </c>
      <c r="Y35" s="58" t="s">
        <v>383</v>
      </c>
      <c r="Z35" s="58" t="s">
        <v>383</v>
      </c>
      <c r="AA35" s="204">
        <f>'1a. Incremental Deployment-2022'!AA35+'1b. Incremental Deployment-2023'!AA35+'1c. Incremental Deployment-2024'!AA35+'1d. Incremental Deployment-2025'!AA35</f>
        <v>0</v>
      </c>
      <c r="AB35" s="69">
        <f>'1a. Incremental Deployment-2022'!AB35+'1b. Incremental Deployment-2023'!AB35+'1c. Incremental Deployment-2024'!AB35+'1d. Incremental Deployment-2025'!AB35</f>
        <v>0</v>
      </c>
      <c r="AC35" s="69" t="s">
        <v>383</v>
      </c>
      <c r="AD35" s="65" t="s">
        <v>383</v>
      </c>
      <c r="AE35" s="198" t="s">
        <v>383</v>
      </c>
      <c r="AF35" s="58">
        <f>'1a. Incremental Deployment-2022'!AF35+'1b. Incremental Deployment-2023'!AF35+'1c. Incremental Deployment-2024'!AF35+'1d. Incremental Deployment-2025'!AF35</f>
        <v>0</v>
      </c>
      <c r="AG35" s="204" t="s">
        <v>383</v>
      </c>
      <c r="AH35" s="69" t="s">
        <v>383</v>
      </c>
      <c r="AI35" s="69">
        <f>'1a. Incremental Deployment-2022'!AI35+'1b. Incremental Deployment-2023'!AI35+'1c. Incremental Deployment-2024'!AI35+'1d. Incremental Deployment-2025'!AI35</f>
        <v>0</v>
      </c>
      <c r="AJ35" s="69" t="s">
        <v>383</v>
      </c>
    </row>
    <row r="36" spans="1:36" s="123" customFormat="1" ht="30" customHeight="1" x14ac:dyDescent="0.3">
      <c r="A36" s="60" t="str">
        <f t="shared" si="0"/>
        <v>Unitil</v>
      </c>
      <c r="B36" s="66" t="s">
        <v>383</v>
      </c>
      <c r="C36" s="66" t="s">
        <v>383</v>
      </c>
      <c r="D36" s="58" t="s">
        <v>414</v>
      </c>
      <c r="E36" s="58" t="s">
        <v>385</v>
      </c>
      <c r="F36" s="58" t="s">
        <v>415</v>
      </c>
      <c r="G36" s="58" t="s">
        <v>385</v>
      </c>
      <c r="H36" s="10" t="s">
        <v>387</v>
      </c>
      <c r="I36" s="58">
        <f>'1a. Incremental Deployment-2022'!I36+'1b. Incremental Deployment-2023'!I36+'1c. Incremental Deployment-2024'!I36+'1d. Incremental Deployment-2025'!I36</f>
        <v>1</v>
      </c>
      <c r="J36" s="58">
        <f>'1a. Incremental Deployment-2022'!J36+'1b. Incremental Deployment-2023'!J36+'1c. Incremental Deployment-2024'!J36+'1d. Incremental Deployment-2025'!J36</f>
        <v>0</v>
      </c>
      <c r="K36" s="66" t="s">
        <v>383</v>
      </c>
      <c r="L36" s="58" t="s">
        <v>383</v>
      </c>
      <c r="M36" s="58" t="s">
        <v>383</v>
      </c>
      <c r="N36" s="65" t="s">
        <v>383</v>
      </c>
      <c r="O36" s="58" t="s">
        <v>383</v>
      </c>
      <c r="P36" s="58" t="s">
        <v>383</v>
      </c>
      <c r="Q36" s="198" t="s">
        <v>383</v>
      </c>
      <c r="R36" s="65">
        <f>'1a. Incremental Deployment-2022'!R36+'1b. Incremental Deployment-2023'!R36+'1c. Incremental Deployment-2024'!R36+'1d. Incremental Deployment-2025'!R36</f>
        <v>0</v>
      </c>
      <c r="S36" s="58">
        <f>'1a. Incremental Deployment-2022'!S36+'1b. Incremental Deployment-2023'!S36+'1c. Incremental Deployment-2024'!S36+'1d. Incremental Deployment-2025'!S36</f>
        <v>0</v>
      </c>
      <c r="T36" s="58">
        <f>'1a. Incremental Deployment-2022'!T36+'1b. Incremental Deployment-2023'!T36+'1c. Incremental Deployment-2024'!T36+'1d. Incremental Deployment-2025'!T36</f>
        <v>0</v>
      </c>
      <c r="U36" s="203">
        <f>'1a. Incremental Deployment-2022'!U36+'1b. Incremental Deployment-2023'!U36+'1c. Incremental Deployment-2024'!U36+'1d. Incremental Deployment-2025'!U36</f>
        <v>0</v>
      </c>
      <c r="V36" s="65">
        <f>'1a. Incremental Deployment-2022'!V36+'1b. Incremental Deployment-2023'!V36+'1c. Incremental Deployment-2024'!V36+'1d. Incremental Deployment-2025'!V36</f>
        <v>0</v>
      </c>
      <c r="W36" s="65" t="s">
        <v>383</v>
      </c>
      <c r="X36" s="58" t="s">
        <v>383</v>
      </c>
      <c r="Y36" s="58" t="s">
        <v>383</v>
      </c>
      <c r="Z36" s="58" t="s">
        <v>383</v>
      </c>
      <c r="AA36" s="204">
        <f>'1a. Incremental Deployment-2022'!AA36+'1b. Incremental Deployment-2023'!AA36+'1c. Incremental Deployment-2024'!AA36+'1d. Incremental Deployment-2025'!AA36</f>
        <v>0</v>
      </c>
      <c r="AB36" s="69">
        <f>'1a. Incremental Deployment-2022'!AB36+'1b. Incremental Deployment-2023'!AB36+'1c. Incremental Deployment-2024'!AB36+'1d. Incremental Deployment-2025'!AB36</f>
        <v>0</v>
      </c>
      <c r="AC36" s="69" t="s">
        <v>383</v>
      </c>
      <c r="AD36" s="65" t="s">
        <v>383</v>
      </c>
      <c r="AE36" s="198" t="s">
        <v>383</v>
      </c>
      <c r="AF36" s="58">
        <f>'1a. Incremental Deployment-2022'!AF36+'1b. Incremental Deployment-2023'!AF36+'1c. Incremental Deployment-2024'!AF36+'1d. Incremental Deployment-2025'!AF36</f>
        <v>0</v>
      </c>
      <c r="AG36" s="204" t="s">
        <v>383</v>
      </c>
      <c r="AH36" s="69" t="s">
        <v>383</v>
      </c>
      <c r="AI36" s="69">
        <f>'1a. Incremental Deployment-2022'!AI36+'1b. Incremental Deployment-2023'!AI36+'1c. Incremental Deployment-2024'!AI36+'1d. Incremental Deployment-2025'!AI36</f>
        <v>0</v>
      </c>
      <c r="AJ36" s="69" t="s">
        <v>383</v>
      </c>
    </row>
    <row r="37" spans="1:36" s="123" customFormat="1" ht="30" customHeight="1" x14ac:dyDescent="0.3">
      <c r="A37" s="60" t="str">
        <f t="shared" si="0"/>
        <v>Unitil</v>
      </c>
      <c r="B37" s="66" t="s">
        <v>383</v>
      </c>
      <c r="C37" s="66" t="s">
        <v>383</v>
      </c>
      <c r="D37" s="58" t="s">
        <v>414</v>
      </c>
      <c r="E37" s="58" t="s">
        <v>385</v>
      </c>
      <c r="F37" s="58" t="s">
        <v>416</v>
      </c>
      <c r="G37" s="58" t="s">
        <v>385</v>
      </c>
      <c r="H37" s="10" t="s">
        <v>387</v>
      </c>
      <c r="I37" s="58">
        <f>'1a. Incremental Deployment-2022'!I37+'1b. Incremental Deployment-2023'!I37+'1c. Incremental Deployment-2024'!I37+'1d. Incremental Deployment-2025'!I37</f>
        <v>1</v>
      </c>
      <c r="J37" s="58">
        <f>'1a. Incremental Deployment-2022'!J37+'1b. Incremental Deployment-2023'!J37+'1c. Incremental Deployment-2024'!J37+'1d. Incremental Deployment-2025'!J37</f>
        <v>0</v>
      </c>
      <c r="K37" s="66" t="s">
        <v>383</v>
      </c>
      <c r="L37" s="58" t="s">
        <v>383</v>
      </c>
      <c r="M37" s="58" t="s">
        <v>383</v>
      </c>
      <c r="N37" s="65" t="s">
        <v>383</v>
      </c>
      <c r="O37" s="58" t="s">
        <v>383</v>
      </c>
      <c r="P37" s="58" t="s">
        <v>383</v>
      </c>
      <c r="Q37" s="198" t="s">
        <v>383</v>
      </c>
      <c r="R37" s="65">
        <f>'1a. Incremental Deployment-2022'!R37+'1b. Incremental Deployment-2023'!R37+'1c. Incremental Deployment-2024'!R37+'1d. Incremental Deployment-2025'!R37</f>
        <v>0</v>
      </c>
      <c r="S37" s="58">
        <f>'1a. Incremental Deployment-2022'!S37+'1b. Incremental Deployment-2023'!S37+'1c. Incremental Deployment-2024'!S37+'1d. Incremental Deployment-2025'!S37</f>
        <v>0</v>
      </c>
      <c r="T37" s="58">
        <f>'1a. Incremental Deployment-2022'!T37+'1b. Incremental Deployment-2023'!T37+'1c. Incremental Deployment-2024'!T37+'1d. Incremental Deployment-2025'!T37</f>
        <v>0</v>
      </c>
      <c r="U37" s="203">
        <f>'1a. Incremental Deployment-2022'!U37+'1b. Incremental Deployment-2023'!U37+'1c. Incremental Deployment-2024'!U37+'1d. Incremental Deployment-2025'!U37</f>
        <v>0</v>
      </c>
      <c r="V37" s="65">
        <f>'1a. Incremental Deployment-2022'!V37+'1b. Incremental Deployment-2023'!V37+'1c. Incremental Deployment-2024'!V37+'1d. Incremental Deployment-2025'!V37</f>
        <v>0</v>
      </c>
      <c r="W37" s="65" t="s">
        <v>383</v>
      </c>
      <c r="X37" s="58" t="s">
        <v>383</v>
      </c>
      <c r="Y37" s="58" t="s">
        <v>383</v>
      </c>
      <c r="Z37" s="58" t="s">
        <v>383</v>
      </c>
      <c r="AA37" s="204">
        <f>'1a. Incremental Deployment-2022'!AA37+'1b. Incremental Deployment-2023'!AA37+'1c. Incremental Deployment-2024'!AA37+'1d. Incremental Deployment-2025'!AA37</f>
        <v>0</v>
      </c>
      <c r="AB37" s="69">
        <f>'1a. Incremental Deployment-2022'!AB37+'1b. Incremental Deployment-2023'!AB37+'1c. Incremental Deployment-2024'!AB37+'1d. Incremental Deployment-2025'!AB37</f>
        <v>0</v>
      </c>
      <c r="AC37" s="69" t="s">
        <v>383</v>
      </c>
      <c r="AD37" s="65" t="s">
        <v>383</v>
      </c>
      <c r="AE37" s="198" t="s">
        <v>383</v>
      </c>
      <c r="AF37" s="58">
        <f>'1a. Incremental Deployment-2022'!AF37+'1b. Incremental Deployment-2023'!AF37+'1c. Incremental Deployment-2024'!AF37+'1d. Incremental Deployment-2025'!AF37</f>
        <v>0</v>
      </c>
      <c r="AG37" s="204" t="s">
        <v>383</v>
      </c>
      <c r="AH37" s="69" t="s">
        <v>383</v>
      </c>
      <c r="AI37" s="69">
        <f>'1a. Incremental Deployment-2022'!AI37+'1b. Incremental Deployment-2023'!AI37+'1c. Incremental Deployment-2024'!AI37+'1d. Incremental Deployment-2025'!AI37</f>
        <v>0</v>
      </c>
      <c r="AJ37" s="69" t="s">
        <v>383</v>
      </c>
    </row>
    <row r="38" spans="1:36" s="123" customFormat="1" ht="30" customHeight="1" x14ac:dyDescent="0.3">
      <c r="A38" s="60" t="str">
        <f t="shared" si="0"/>
        <v>Unitil</v>
      </c>
      <c r="B38" s="66" t="s">
        <v>383</v>
      </c>
      <c r="C38" s="66" t="s">
        <v>383</v>
      </c>
      <c r="D38" s="58" t="s">
        <v>414</v>
      </c>
      <c r="E38" s="58" t="s">
        <v>385</v>
      </c>
      <c r="F38" s="58" t="s">
        <v>417</v>
      </c>
      <c r="G38" s="58" t="s">
        <v>385</v>
      </c>
      <c r="H38" s="10" t="s">
        <v>387</v>
      </c>
      <c r="I38" s="58">
        <f>'1a. Incremental Deployment-2022'!I38+'1b. Incremental Deployment-2023'!I38+'1c. Incremental Deployment-2024'!I38+'1d. Incremental Deployment-2025'!I38</f>
        <v>1</v>
      </c>
      <c r="J38" s="58">
        <f>'1a. Incremental Deployment-2022'!J38+'1b. Incremental Deployment-2023'!J38+'1c. Incremental Deployment-2024'!J38+'1d. Incremental Deployment-2025'!J38</f>
        <v>0</v>
      </c>
      <c r="K38" s="66" t="s">
        <v>383</v>
      </c>
      <c r="L38" s="58" t="s">
        <v>383</v>
      </c>
      <c r="M38" s="58" t="s">
        <v>383</v>
      </c>
      <c r="N38" s="65" t="s">
        <v>383</v>
      </c>
      <c r="O38" s="58" t="s">
        <v>383</v>
      </c>
      <c r="P38" s="58" t="s">
        <v>383</v>
      </c>
      <c r="Q38" s="198" t="s">
        <v>383</v>
      </c>
      <c r="R38" s="65">
        <f>'1a. Incremental Deployment-2022'!R38+'1b. Incremental Deployment-2023'!R38+'1c. Incremental Deployment-2024'!R38+'1d. Incremental Deployment-2025'!R38</f>
        <v>0</v>
      </c>
      <c r="S38" s="58">
        <f>'1a. Incremental Deployment-2022'!S38+'1b. Incremental Deployment-2023'!S38+'1c. Incremental Deployment-2024'!S38+'1d. Incremental Deployment-2025'!S38</f>
        <v>0</v>
      </c>
      <c r="T38" s="58">
        <f>'1a. Incremental Deployment-2022'!T38+'1b. Incremental Deployment-2023'!T38+'1c. Incremental Deployment-2024'!T38+'1d. Incremental Deployment-2025'!T38</f>
        <v>0</v>
      </c>
      <c r="U38" s="203">
        <f>'1a. Incremental Deployment-2022'!U38+'1b. Incremental Deployment-2023'!U38+'1c. Incremental Deployment-2024'!U38+'1d. Incremental Deployment-2025'!U38</f>
        <v>0</v>
      </c>
      <c r="V38" s="65">
        <f>'1a. Incremental Deployment-2022'!V38+'1b. Incremental Deployment-2023'!V38+'1c. Incremental Deployment-2024'!V38+'1d. Incremental Deployment-2025'!V38</f>
        <v>0</v>
      </c>
      <c r="W38" s="65" t="s">
        <v>383</v>
      </c>
      <c r="X38" s="58" t="s">
        <v>383</v>
      </c>
      <c r="Y38" s="58" t="s">
        <v>383</v>
      </c>
      <c r="Z38" s="58" t="s">
        <v>383</v>
      </c>
      <c r="AA38" s="204">
        <f>'1a. Incremental Deployment-2022'!AA38+'1b. Incremental Deployment-2023'!AA38+'1c. Incremental Deployment-2024'!AA38+'1d. Incremental Deployment-2025'!AA38</f>
        <v>0</v>
      </c>
      <c r="AB38" s="69">
        <f>'1a. Incremental Deployment-2022'!AB38+'1b. Incremental Deployment-2023'!AB38+'1c. Incremental Deployment-2024'!AB38+'1d. Incremental Deployment-2025'!AB38</f>
        <v>0</v>
      </c>
      <c r="AC38" s="69" t="s">
        <v>383</v>
      </c>
      <c r="AD38" s="65" t="s">
        <v>383</v>
      </c>
      <c r="AE38" s="198" t="s">
        <v>383</v>
      </c>
      <c r="AF38" s="58">
        <f>'1a. Incremental Deployment-2022'!AF38+'1b. Incremental Deployment-2023'!AF38+'1c. Incremental Deployment-2024'!AF38+'1d. Incremental Deployment-2025'!AF38</f>
        <v>0</v>
      </c>
      <c r="AG38" s="204" t="s">
        <v>383</v>
      </c>
      <c r="AH38" s="69" t="s">
        <v>383</v>
      </c>
      <c r="AI38" s="69">
        <f>'1a. Incremental Deployment-2022'!AI38+'1b. Incremental Deployment-2023'!AI38+'1c. Incremental Deployment-2024'!AI38+'1d. Incremental Deployment-2025'!AI38</f>
        <v>0</v>
      </c>
      <c r="AJ38" s="69" t="s">
        <v>383</v>
      </c>
    </row>
    <row r="39" spans="1:36" s="123" customFormat="1" ht="30" customHeight="1" x14ac:dyDescent="0.3">
      <c r="A39" s="60" t="str">
        <f t="shared" si="0"/>
        <v>Unitil</v>
      </c>
      <c r="B39" s="66" t="s">
        <v>383</v>
      </c>
      <c r="C39" s="66" t="s">
        <v>383</v>
      </c>
      <c r="D39" s="58" t="s">
        <v>414</v>
      </c>
      <c r="E39" s="58" t="s">
        <v>385</v>
      </c>
      <c r="F39" s="496"/>
      <c r="G39" s="496"/>
      <c r="H39" s="497"/>
      <c r="I39" s="58">
        <f>'1a. Incremental Deployment-2022'!I39+'1b. Incremental Deployment-2023'!I39+'1c. Incremental Deployment-2024'!I39+'1d. Incremental Deployment-2025'!I39</f>
        <v>2</v>
      </c>
      <c r="J39" s="58">
        <f>'1a. Incremental Deployment-2022'!J39+'1b. Incremental Deployment-2023'!J39+'1c. Incremental Deployment-2024'!J39+'1d. Incremental Deployment-2025'!J39</f>
        <v>0</v>
      </c>
      <c r="K39" s="66" t="s">
        <v>383</v>
      </c>
      <c r="L39" s="58" t="s">
        <v>383</v>
      </c>
      <c r="M39" s="58" t="s">
        <v>383</v>
      </c>
      <c r="N39" s="65" t="s">
        <v>383</v>
      </c>
      <c r="O39" s="58" t="s">
        <v>383</v>
      </c>
      <c r="P39" s="58" t="s">
        <v>383</v>
      </c>
      <c r="Q39" s="198" t="s">
        <v>383</v>
      </c>
      <c r="R39" s="65">
        <f>'1a. Incremental Deployment-2022'!R39+'1b. Incremental Deployment-2023'!R39+'1c. Incremental Deployment-2024'!R39+'1d. Incremental Deployment-2025'!R39</f>
        <v>0</v>
      </c>
      <c r="S39" s="58">
        <f>'1a. Incremental Deployment-2022'!S39+'1b. Incremental Deployment-2023'!S39+'1c. Incremental Deployment-2024'!S39+'1d. Incremental Deployment-2025'!S39</f>
        <v>0</v>
      </c>
      <c r="T39" s="58">
        <f>'1a. Incremental Deployment-2022'!T39+'1b. Incremental Deployment-2023'!T39+'1c. Incremental Deployment-2024'!T39+'1d. Incremental Deployment-2025'!T39</f>
        <v>1</v>
      </c>
      <c r="U39" s="203">
        <f>'1a. Incremental Deployment-2022'!U39+'1b. Incremental Deployment-2023'!U39+'1c. Incremental Deployment-2024'!U39+'1d. Incremental Deployment-2025'!U39</f>
        <v>0</v>
      </c>
      <c r="V39" s="65">
        <f>'1a. Incremental Deployment-2022'!V39+'1b. Incremental Deployment-2023'!V39+'1c. Incremental Deployment-2024'!V39+'1d. Incremental Deployment-2025'!V39</f>
        <v>0</v>
      </c>
      <c r="W39" s="65" t="s">
        <v>383</v>
      </c>
      <c r="X39" s="58" t="s">
        <v>383</v>
      </c>
      <c r="Y39" s="58" t="s">
        <v>383</v>
      </c>
      <c r="Z39" s="58" t="s">
        <v>383</v>
      </c>
      <c r="AA39" s="204">
        <f>'1a. Incremental Deployment-2022'!AA39+'1b. Incremental Deployment-2023'!AA39+'1c. Incremental Deployment-2024'!AA39+'1d. Incremental Deployment-2025'!AA39</f>
        <v>0</v>
      </c>
      <c r="AB39" s="69">
        <f>'1a. Incremental Deployment-2022'!AB39+'1b. Incremental Deployment-2023'!AB39+'1c. Incremental Deployment-2024'!AB39+'1d. Incremental Deployment-2025'!AB39</f>
        <v>0</v>
      </c>
      <c r="AC39" s="69" t="s">
        <v>383</v>
      </c>
      <c r="AD39" s="65" t="s">
        <v>383</v>
      </c>
      <c r="AE39" s="198" t="s">
        <v>383</v>
      </c>
      <c r="AF39" s="58">
        <f>'1a. Incremental Deployment-2022'!AF39+'1b. Incremental Deployment-2023'!AF39+'1c. Incremental Deployment-2024'!AF39+'1d. Incremental Deployment-2025'!AF39</f>
        <v>0</v>
      </c>
      <c r="AG39" s="204" t="s">
        <v>383</v>
      </c>
      <c r="AH39" s="69" t="s">
        <v>383</v>
      </c>
      <c r="AI39" s="69">
        <f>'1a. Incremental Deployment-2022'!AI39+'1b. Incremental Deployment-2023'!AI39+'1c. Incremental Deployment-2024'!AI39+'1d. Incremental Deployment-2025'!AI39</f>
        <v>0</v>
      </c>
      <c r="AJ39" s="69" t="s">
        <v>383</v>
      </c>
    </row>
    <row r="40" spans="1:36" s="123" customFormat="1" ht="30" customHeight="1" x14ac:dyDescent="0.3">
      <c r="A40" s="60" t="str">
        <f t="shared" si="0"/>
        <v>Unitil</v>
      </c>
      <c r="B40" s="66" t="s">
        <v>383</v>
      </c>
      <c r="C40" s="66" t="s">
        <v>383</v>
      </c>
      <c r="D40" s="58" t="s">
        <v>418</v>
      </c>
      <c r="E40" s="58" t="s">
        <v>418</v>
      </c>
      <c r="F40" s="58" t="s">
        <v>419</v>
      </c>
      <c r="G40" s="58" t="s">
        <v>418</v>
      </c>
      <c r="H40" s="10" t="s">
        <v>387</v>
      </c>
      <c r="I40" s="58">
        <f>'1a. Incremental Deployment-2022'!I40+'1b. Incremental Deployment-2023'!I40+'1c. Incremental Deployment-2024'!I40+'1d. Incremental Deployment-2025'!I40</f>
        <v>0</v>
      </c>
      <c r="J40" s="58">
        <f>'1a. Incremental Deployment-2022'!J40+'1b. Incremental Deployment-2023'!J40+'1c. Incremental Deployment-2024'!J40+'1d. Incremental Deployment-2025'!J40</f>
        <v>0</v>
      </c>
      <c r="K40" s="66" t="s">
        <v>383</v>
      </c>
      <c r="L40" s="58" t="s">
        <v>383</v>
      </c>
      <c r="M40" s="58" t="s">
        <v>383</v>
      </c>
      <c r="N40" s="65" t="s">
        <v>383</v>
      </c>
      <c r="O40" s="58" t="s">
        <v>383</v>
      </c>
      <c r="P40" s="58" t="s">
        <v>383</v>
      </c>
      <c r="Q40" s="198" t="s">
        <v>383</v>
      </c>
      <c r="R40" s="65">
        <f>'1a. Incremental Deployment-2022'!R40+'1b. Incremental Deployment-2023'!R40+'1c. Incremental Deployment-2024'!R40+'1d. Incremental Deployment-2025'!R40</f>
        <v>9</v>
      </c>
      <c r="S40" s="58">
        <f>'1a. Incremental Deployment-2022'!S40+'1b. Incremental Deployment-2023'!S40+'1c. Incremental Deployment-2024'!S40+'1d. Incremental Deployment-2025'!S40</f>
        <v>2</v>
      </c>
      <c r="T40" s="58">
        <f>'1a. Incremental Deployment-2022'!T40+'1b. Incremental Deployment-2023'!T40+'1c. Incremental Deployment-2024'!T40+'1d. Incremental Deployment-2025'!T40</f>
        <v>0</v>
      </c>
      <c r="U40" s="203">
        <f>'1a. Incremental Deployment-2022'!U40+'1b. Incremental Deployment-2023'!U40+'1c. Incremental Deployment-2024'!U40+'1d. Incremental Deployment-2025'!U40</f>
        <v>10</v>
      </c>
      <c r="V40" s="65">
        <f>'1a. Incremental Deployment-2022'!V40+'1b. Incremental Deployment-2023'!V40+'1c. Incremental Deployment-2024'!V40+'1d. Incremental Deployment-2025'!V40</f>
        <v>0</v>
      </c>
      <c r="W40" s="65" t="s">
        <v>383</v>
      </c>
      <c r="X40" s="58" t="s">
        <v>383</v>
      </c>
      <c r="Y40" s="58" t="s">
        <v>383</v>
      </c>
      <c r="Z40" s="58" t="s">
        <v>383</v>
      </c>
      <c r="AA40" s="204">
        <f>'1a. Incremental Deployment-2022'!AA40+'1b. Incremental Deployment-2023'!AA40+'1c. Incremental Deployment-2024'!AA40+'1d. Incremental Deployment-2025'!AA40</f>
        <v>0</v>
      </c>
      <c r="AB40" s="69">
        <f>'1a. Incremental Deployment-2022'!AB40+'1b. Incremental Deployment-2023'!AB40+'1c. Incremental Deployment-2024'!AB40+'1d. Incremental Deployment-2025'!AB40</f>
        <v>0</v>
      </c>
      <c r="AC40" s="69" t="s">
        <v>383</v>
      </c>
      <c r="AD40" s="65" t="s">
        <v>383</v>
      </c>
      <c r="AE40" s="198" t="s">
        <v>383</v>
      </c>
      <c r="AF40" s="58">
        <f>'1a. Incremental Deployment-2022'!AF40+'1b. Incremental Deployment-2023'!AF40+'1c. Incremental Deployment-2024'!AF40+'1d. Incremental Deployment-2025'!AF40</f>
        <v>0</v>
      </c>
      <c r="AG40" s="204" t="s">
        <v>383</v>
      </c>
      <c r="AH40" s="69" t="s">
        <v>383</v>
      </c>
      <c r="AI40" s="69">
        <f>'1a. Incremental Deployment-2022'!AI40+'1b. Incremental Deployment-2023'!AI40+'1c. Incremental Deployment-2024'!AI40+'1d. Incremental Deployment-2025'!AI40</f>
        <v>0</v>
      </c>
      <c r="AJ40" s="69" t="s">
        <v>383</v>
      </c>
    </row>
    <row r="41" spans="1:36" s="123" customFormat="1" ht="30" customHeight="1" x14ac:dyDescent="0.3">
      <c r="A41" s="60" t="str">
        <f t="shared" si="0"/>
        <v>Unitil</v>
      </c>
      <c r="B41" s="66" t="s">
        <v>383</v>
      </c>
      <c r="C41" s="66" t="s">
        <v>383</v>
      </c>
      <c r="D41" s="58" t="s">
        <v>418</v>
      </c>
      <c r="E41" s="58" t="s">
        <v>418</v>
      </c>
      <c r="F41" s="58" t="s">
        <v>420</v>
      </c>
      <c r="G41" s="58" t="s">
        <v>421</v>
      </c>
      <c r="H41" s="10" t="s">
        <v>387</v>
      </c>
      <c r="I41" s="58">
        <f>'1a. Incremental Deployment-2022'!I41+'1b. Incremental Deployment-2023'!I41+'1c. Incremental Deployment-2024'!I41+'1d. Incremental Deployment-2025'!I41</f>
        <v>0</v>
      </c>
      <c r="J41" s="58">
        <f>'1a. Incremental Deployment-2022'!J41+'1b. Incremental Deployment-2023'!J41+'1c. Incremental Deployment-2024'!J41+'1d. Incremental Deployment-2025'!J41</f>
        <v>0</v>
      </c>
      <c r="K41" s="66" t="s">
        <v>383</v>
      </c>
      <c r="L41" s="58" t="s">
        <v>383</v>
      </c>
      <c r="M41" s="58" t="s">
        <v>383</v>
      </c>
      <c r="N41" s="65" t="s">
        <v>383</v>
      </c>
      <c r="O41" s="58" t="s">
        <v>383</v>
      </c>
      <c r="P41" s="58" t="s">
        <v>383</v>
      </c>
      <c r="Q41" s="198" t="s">
        <v>383</v>
      </c>
      <c r="R41" s="65">
        <f>'1a. Incremental Deployment-2022'!R41+'1b. Incremental Deployment-2023'!R41+'1c. Incremental Deployment-2024'!R41+'1d. Incremental Deployment-2025'!R41</f>
        <v>10</v>
      </c>
      <c r="S41" s="58">
        <f>'1a. Incremental Deployment-2022'!S41+'1b. Incremental Deployment-2023'!S41+'1c. Incremental Deployment-2024'!S41+'1d. Incremental Deployment-2025'!S41</f>
        <v>2</v>
      </c>
      <c r="T41" s="58">
        <f>'1a. Incremental Deployment-2022'!T41+'1b. Incremental Deployment-2023'!T41+'1c. Incremental Deployment-2024'!T41+'1d. Incremental Deployment-2025'!T41</f>
        <v>0</v>
      </c>
      <c r="U41" s="203">
        <f>'1a. Incremental Deployment-2022'!U41+'1b. Incremental Deployment-2023'!U41+'1c. Incremental Deployment-2024'!U41+'1d. Incremental Deployment-2025'!U41</f>
        <v>12</v>
      </c>
      <c r="V41" s="65">
        <f>'1a. Incremental Deployment-2022'!V41+'1b. Incremental Deployment-2023'!V41+'1c. Incremental Deployment-2024'!V41+'1d. Incremental Deployment-2025'!V41</f>
        <v>0</v>
      </c>
      <c r="W41" s="65" t="s">
        <v>383</v>
      </c>
      <c r="X41" s="58" t="s">
        <v>383</v>
      </c>
      <c r="Y41" s="58" t="s">
        <v>383</v>
      </c>
      <c r="Z41" s="58" t="s">
        <v>383</v>
      </c>
      <c r="AA41" s="204">
        <f>'1a. Incremental Deployment-2022'!AA41+'1b. Incremental Deployment-2023'!AA41+'1c. Incremental Deployment-2024'!AA41+'1d. Incremental Deployment-2025'!AA41</f>
        <v>0</v>
      </c>
      <c r="AB41" s="69">
        <f>'1a. Incremental Deployment-2022'!AB41+'1b. Incremental Deployment-2023'!AB41+'1c. Incremental Deployment-2024'!AB41+'1d. Incremental Deployment-2025'!AB41</f>
        <v>0</v>
      </c>
      <c r="AC41" s="69" t="s">
        <v>383</v>
      </c>
      <c r="AD41" s="65" t="s">
        <v>383</v>
      </c>
      <c r="AE41" s="198" t="s">
        <v>383</v>
      </c>
      <c r="AF41" s="58">
        <f>'1a. Incremental Deployment-2022'!AF41+'1b. Incremental Deployment-2023'!AF41+'1c. Incremental Deployment-2024'!AF41+'1d. Incremental Deployment-2025'!AF41</f>
        <v>0</v>
      </c>
      <c r="AG41" s="204" t="s">
        <v>383</v>
      </c>
      <c r="AH41" s="69" t="s">
        <v>383</v>
      </c>
      <c r="AI41" s="69">
        <f>'1a. Incremental Deployment-2022'!AI41+'1b. Incremental Deployment-2023'!AI41+'1c. Incremental Deployment-2024'!AI41+'1d. Incremental Deployment-2025'!AI41</f>
        <v>0</v>
      </c>
      <c r="AJ41" s="69" t="s">
        <v>383</v>
      </c>
    </row>
    <row r="42" spans="1:36" s="123" customFormat="1" ht="30" customHeight="1" x14ac:dyDescent="0.3">
      <c r="A42" s="60" t="str">
        <f t="shared" si="0"/>
        <v>Unitil</v>
      </c>
      <c r="B42" s="66" t="s">
        <v>383</v>
      </c>
      <c r="C42" s="66" t="s">
        <v>383</v>
      </c>
      <c r="D42" s="58" t="s">
        <v>418</v>
      </c>
      <c r="E42" s="58" t="s">
        <v>418</v>
      </c>
      <c r="F42" s="496"/>
      <c r="G42" s="496"/>
      <c r="H42" s="497"/>
      <c r="I42" s="58">
        <f>'1a. Incremental Deployment-2022'!I42+'1b. Incremental Deployment-2023'!I42+'1c. Incremental Deployment-2024'!I42+'1d. Incremental Deployment-2025'!I42</f>
        <v>0</v>
      </c>
      <c r="J42" s="58">
        <f>'1a. Incremental Deployment-2022'!J42+'1b. Incremental Deployment-2023'!J42+'1c. Incremental Deployment-2024'!J42+'1d. Incremental Deployment-2025'!J42</f>
        <v>0</v>
      </c>
      <c r="K42" s="66" t="s">
        <v>383</v>
      </c>
      <c r="L42" s="58" t="s">
        <v>383</v>
      </c>
      <c r="M42" s="58" t="s">
        <v>383</v>
      </c>
      <c r="N42" s="65" t="s">
        <v>383</v>
      </c>
      <c r="O42" s="58" t="s">
        <v>383</v>
      </c>
      <c r="P42" s="58" t="s">
        <v>383</v>
      </c>
      <c r="Q42" s="198" t="s">
        <v>383</v>
      </c>
      <c r="R42" s="65">
        <f>'1a. Incremental Deployment-2022'!R42+'1b. Incremental Deployment-2023'!R42+'1c. Incremental Deployment-2024'!R42+'1d. Incremental Deployment-2025'!R42</f>
        <v>0</v>
      </c>
      <c r="S42" s="58">
        <f>'1a. Incremental Deployment-2022'!S42+'1b. Incremental Deployment-2023'!S42+'1c. Incremental Deployment-2024'!S42+'1d. Incremental Deployment-2025'!S42</f>
        <v>1</v>
      </c>
      <c r="T42" s="58">
        <f>'1a. Incremental Deployment-2022'!T42+'1b. Incremental Deployment-2023'!T42+'1c. Incremental Deployment-2024'!T42+'1d. Incremental Deployment-2025'!T42</f>
        <v>0</v>
      </c>
      <c r="U42" s="203">
        <f>'1a. Incremental Deployment-2022'!U42+'1b. Incremental Deployment-2023'!U42+'1c. Incremental Deployment-2024'!U42+'1d. Incremental Deployment-2025'!U42</f>
        <v>0</v>
      </c>
      <c r="V42" s="65">
        <f>'1a. Incremental Deployment-2022'!V42+'1b. Incremental Deployment-2023'!V42+'1c. Incremental Deployment-2024'!V42+'1d. Incremental Deployment-2025'!V42</f>
        <v>0</v>
      </c>
      <c r="W42" s="65" t="s">
        <v>383</v>
      </c>
      <c r="X42" s="58" t="s">
        <v>383</v>
      </c>
      <c r="Y42" s="58" t="s">
        <v>383</v>
      </c>
      <c r="Z42" s="58" t="s">
        <v>383</v>
      </c>
      <c r="AA42" s="204">
        <f>'1a. Incremental Deployment-2022'!AA42+'1b. Incremental Deployment-2023'!AA42+'1c. Incremental Deployment-2024'!AA42+'1d. Incremental Deployment-2025'!AA42</f>
        <v>0</v>
      </c>
      <c r="AB42" s="69">
        <f>'1a. Incremental Deployment-2022'!AB42+'1b. Incremental Deployment-2023'!AB42+'1c. Incremental Deployment-2024'!AB42+'1d. Incremental Deployment-2025'!AB42</f>
        <v>0</v>
      </c>
      <c r="AC42" s="69" t="s">
        <v>383</v>
      </c>
      <c r="AD42" s="65" t="s">
        <v>383</v>
      </c>
      <c r="AE42" s="198" t="s">
        <v>383</v>
      </c>
      <c r="AF42" s="58">
        <f>'1a. Incremental Deployment-2022'!AF42+'1b. Incremental Deployment-2023'!AF42+'1c. Incremental Deployment-2024'!AF42+'1d. Incremental Deployment-2025'!AF42</f>
        <v>0</v>
      </c>
      <c r="AG42" s="204" t="s">
        <v>383</v>
      </c>
      <c r="AH42" s="69" t="s">
        <v>383</v>
      </c>
      <c r="AI42" s="69">
        <f>'1a. Incremental Deployment-2022'!AI42+'1b. Incremental Deployment-2023'!AI42+'1c. Incremental Deployment-2024'!AI42+'1d. Incremental Deployment-2025'!AI42</f>
        <v>0</v>
      </c>
      <c r="AJ42" s="69" t="s">
        <v>383</v>
      </c>
    </row>
    <row r="43" spans="1:36" s="123" customFormat="1" ht="30" customHeight="1" x14ac:dyDescent="0.3">
      <c r="A43" s="60" t="str">
        <f t="shared" si="0"/>
        <v>Unitil</v>
      </c>
      <c r="B43" s="66" t="s">
        <v>383</v>
      </c>
      <c r="C43" s="66" t="s">
        <v>383</v>
      </c>
      <c r="D43" s="58" t="s">
        <v>422</v>
      </c>
      <c r="E43" s="58" t="s">
        <v>418</v>
      </c>
      <c r="F43" s="58" t="s">
        <v>423</v>
      </c>
      <c r="G43" s="58" t="s">
        <v>424</v>
      </c>
      <c r="H43" s="10" t="s">
        <v>387</v>
      </c>
      <c r="I43" s="58">
        <f>'1a. Incremental Deployment-2022'!I43+'1b. Incremental Deployment-2023'!I43+'1c. Incremental Deployment-2024'!I43+'1d. Incremental Deployment-2025'!I43</f>
        <v>0</v>
      </c>
      <c r="J43" s="58">
        <f>'1a. Incremental Deployment-2022'!J43+'1b. Incremental Deployment-2023'!J43+'1c. Incremental Deployment-2024'!J43+'1d. Incremental Deployment-2025'!J43</f>
        <v>0</v>
      </c>
      <c r="K43" s="66" t="s">
        <v>383</v>
      </c>
      <c r="L43" s="58" t="s">
        <v>383</v>
      </c>
      <c r="M43" s="58" t="s">
        <v>383</v>
      </c>
      <c r="N43" s="65" t="s">
        <v>383</v>
      </c>
      <c r="O43" s="58" t="s">
        <v>383</v>
      </c>
      <c r="P43" s="58" t="s">
        <v>383</v>
      </c>
      <c r="Q43" s="198" t="s">
        <v>383</v>
      </c>
      <c r="R43" s="65">
        <f>'1a. Incremental Deployment-2022'!R43+'1b. Incremental Deployment-2023'!R43+'1c. Incremental Deployment-2024'!R43+'1d. Incremental Deployment-2025'!R43</f>
        <v>0</v>
      </c>
      <c r="S43" s="58">
        <f>'1a. Incremental Deployment-2022'!S43+'1b. Incremental Deployment-2023'!S43+'1c. Incremental Deployment-2024'!S43+'1d. Incremental Deployment-2025'!S43</f>
        <v>0</v>
      </c>
      <c r="T43" s="58">
        <f>'1a. Incremental Deployment-2022'!T43+'1b. Incremental Deployment-2023'!T43+'1c. Incremental Deployment-2024'!T43+'1d. Incremental Deployment-2025'!T43</f>
        <v>0</v>
      </c>
      <c r="U43" s="203">
        <f>'1a. Incremental Deployment-2022'!U43+'1b. Incremental Deployment-2023'!U43+'1c. Incremental Deployment-2024'!U43+'1d. Incremental Deployment-2025'!U43</f>
        <v>0</v>
      </c>
      <c r="V43" s="65">
        <f>'1a. Incremental Deployment-2022'!V43+'1b. Incremental Deployment-2023'!V43+'1c. Incremental Deployment-2024'!V43+'1d. Incremental Deployment-2025'!V43</f>
        <v>0</v>
      </c>
      <c r="W43" s="65" t="s">
        <v>383</v>
      </c>
      <c r="X43" s="58" t="s">
        <v>383</v>
      </c>
      <c r="Y43" s="58" t="s">
        <v>383</v>
      </c>
      <c r="Z43" s="58" t="s">
        <v>383</v>
      </c>
      <c r="AA43" s="204">
        <f>'1a. Incremental Deployment-2022'!AA43+'1b. Incremental Deployment-2023'!AA43+'1c. Incremental Deployment-2024'!AA43+'1d. Incremental Deployment-2025'!AA43</f>
        <v>0</v>
      </c>
      <c r="AB43" s="69">
        <f>'1a. Incremental Deployment-2022'!AB43+'1b. Incremental Deployment-2023'!AB43+'1c. Incremental Deployment-2024'!AB43+'1d. Incremental Deployment-2025'!AB43</f>
        <v>0</v>
      </c>
      <c r="AC43" s="69" t="s">
        <v>383</v>
      </c>
      <c r="AD43" s="65" t="s">
        <v>383</v>
      </c>
      <c r="AE43" s="198" t="s">
        <v>383</v>
      </c>
      <c r="AF43" s="58">
        <f>'1a. Incremental Deployment-2022'!AF43+'1b. Incremental Deployment-2023'!AF43+'1c. Incremental Deployment-2024'!AF43+'1d. Incremental Deployment-2025'!AF43</f>
        <v>0</v>
      </c>
      <c r="AG43" s="204" t="s">
        <v>383</v>
      </c>
      <c r="AH43" s="69" t="s">
        <v>383</v>
      </c>
      <c r="AI43" s="69">
        <f>'1a. Incremental Deployment-2022'!AI43+'1b. Incremental Deployment-2023'!AI43+'1c. Incremental Deployment-2024'!AI43+'1d. Incremental Deployment-2025'!AI43</f>
        <v>0</v>
      </c>
      <c r="AJ43" s="69" t="s">
        <v>383</v>
      </c>
    </row>
    <row r="44" spans="1:36" s="123" customFormat="1" ht="30" customHeight="1" x14ac:dyDescent="0.3">
      <c r="A44" s="60" t="str">
        <f t="shared" si="0"/>
        <v>Unitil</v>
      </c>
      <c r="B44" s="66" t="s">
        <v>383</v>
      </c>
      <c r="C44" s="66" t="s">
        <v>383</v>
      </c>
      <c r="D44" s="58" t="s">
        <v>422</v>
      </c>
      <c r="E44" s="58" t="s">
        <v>418</v>
      </c>
      <c r="F44" s="58" t="s">
        <v>425</v>
      </c>
      <c r="G44" s="58" t="s">
        <v>424</v>
      </c>
      <c r="H44" s="10" t="s">
        <v>387</v>
      </c>
      <c r="I44" s="58">
        <f>'1a. Incremental Deployment-2022'!I44+'1b. Incremental Deployment-2023'!I44+'1c. Incremental Deployment-2024'!I44+'1d. Incremental Deployment-2025'!I44</f>
        <v>0</v>
      </c>
      <c r="J44" s="58">
        <f>'1a. Incremental Deployment-2022'!J44+'1b. Incremental Deployment-2023'!J44+'1c. Incremental Deployment-2024'!J44+'1d. Incremental Deployment-2025'!J44</f>
        <v>0</v>
      </c>
      <c r="K44" s="66" t="s">
        <v>383</v>
      </c>
      <c r="L44" s="58" t="s">
        <v>383</v>
      </c>
      <c r="M44" s="58" t="s">
        <v>383</v>
      </c>
      <c r="N44" s="65" t="s">
        <v>383</v>
      </c>
      <c r="O44" s="58" t="s">
        <v>383</v>
      </c>
      <c r="P44" s="58" t="s">
        <v>383</v>
      </c>
      <c r="Q44" s="198" t="s">
        <v>383</v>
      </c>
      <c r="R44" s="65">
        <f>'1a. Incremental Deployment-2022'!R44+'1b. Incremental Deployment-2023'!R44+'1c. Incremental Deployment-2024'!R44+'1d. Incremental Deployment-2025'!R44</f>
        <v>0</v>
      </c>
      <c r="S44" s="58">
        <f>'1a. Incremental Deployment-2022'!S44+'1b. Incremental Deployment-2023'!S44+'1c. Incremental Deployment-2024'!S44+'1d. Incremental Deployment-2025'!S44</f>
        <v>0</v>
      </c>
      <c r="T44" s="58">
        <f>'1a. Incremental Deployment-2022'!T44+'1b. Incremental Deployment-2023'!T44+'1c. Incremental Deployment-2024'!T44+'1d. Incremental Deployment-2025'!T44</f>
        <v>0</v>
      </c>
      <c r="U44" s="203">
        <f>'1a. Incremental Deployment-2022'!U44+'1b. Incremental Deployment-2023'!U44+'1c. Incremental Deployment-2024'!U44+'1d. Incremental Deployment-2025'!U44</f>
        <v>0</v>
      </c>
      <c r="V44" s="65">
        <f>'1a. Incremental Deployment-2022'!V44+'1b. Incremental Deployment-2023'!V44+'1c. Incremental Deployment-2024'!V44+'1d. Incremental Deployment-2025'!V44</f>
        <v>0</v>
      </c>
      <c r="W44" s="65" t="s">
        <v>383</v>
      </c>
      <c r="X44" s="58" t="s">
        <v>383</v>
      </c>
      <c r="Y44" s="58" t="s">
        <v>383</v>
      </c>
      <c r="Z44" s="58" t="s">
        <v>383</v>
      </c>
      <c r="AA44" s="204">
        <f>'1a. Incremental Deployment-2022'!AA44+'1b. Incremental Deployment-2023'!AA44+'1c. Incremental Deployment-2024'!AA44+'1d. Incremental Deployment-2025'!AA44</f>
        <v>0</v>
      </c>
      <c r="AB44" s="69">
        <f>'1a. Incremental Deployment-2022'!AB44+'1b. Incremental Deployment-2023'!AB44+'1c. Incremental Deployment-2024'!AB44+'1d. Incremental Deployment-2025'!AB44</f>
        <v>0</v>
      </c>
      <c r="AC44" s="69" t="s">
        <v>383</v>
      </c>
      <c r="AD44" s="65" t="s">
        <v>383</v>
      </c>
      <c r="AE44" s="198" t="s">
        <v>383</v>
      </c>
      <c r="AF44" s="58">
        <f>'1a. Incremental Deployment-2022'!AF44+'1b. Incremental Deployment-2023'!AF44+'1c. Incremental Deployment-2024'!AF44+'1d. Incremental Deployment-2025'!AF44</f>
        <v>0</v>
      </c>
      <c r="AG44" s="204" t="s">
        <v>383</v>
      </c>
      <c r="AH44" s="69" t="s">
        <v>383</v>
      </c>
      <c r="AI44" s="69">
        <f>'1a. Incremental Deployment-2022'!AI44+'1b. Incremental Deployment-2023'!AI44+'1c. Incremental Deployment-2024'!AI44+'1d. Incremental Deployment-2025'!AI44</f>
        <v>0</v>
      </c>
      <c r="AJ44" s="69" t="s">
        <v>383</v>
      </c>
    </row>
    <row r="45" spans="1:36" s="123" customFormat="1" ht="30" customHeight="1" x14ac:dyDescent="0.3">
      <c r="A45" s="60" t="str">
        <f t="shared" si="0"/>
        <v>Unitil</v>
      </c>
      <c r="B45" s="66" t="s">
        <v>383</v>
      </c>
      <c r="C45" s="66" t="s">
        <v>383</v>
      </c>
      <c r="D45" s="58" t="s">
        <v>422</v>
      </c>
      <c r="E45" s="58" t="s">
        <v>418</v>
      </c>
      <c r="F45" s="58" t="s">
        <v>426</v>
      </c>
      <c r="G45" s="58" t="s">
        <v>418</v>
      </c>
      <c r="H45" s="10" t="s">
        <v>387</v>
      </c>
      <c r="I45" s="58">
        <f>'1a. Incremental Deployment-2022'!I45+'1b. Incremental Deployment-2023'!I45+'1c. Incremental Deployment-2024'!I45+'1d. Incremental Deployment-2025'!I45</f>
        <v>0</v>
      </c>
      <c r="J45" s="58">
        <f>'1a. Incremental Deployment-2022'!J45+'1b. Incremental Deployment-2023'!J45+'1c. Incremental Deployment-2024'!J45+'1d. Incremental Deployment-2025'!J45</f>
        <v>0</v>
      </c>
      <c r="K45" s="66" t="s">
        <v>383</v>
      </c>
      <c r="L45" s="58" t="s">
        <v>383</v>
      </c>
      <c r="M45" s="58" t="s">
        <v>383</v>
      </c>
      <c r="N45" s="65" t="s">
        <v>383</v>
      </c>
      <c r="O45" s="58" t="s">
        <v>383</v>
      </c>
      <c r="P45" s="58" t="s">
        <v>383</v>
      </c>
      <c r="Q45" s="198" t="s">
        <v>383</v>
      </c>
      <c r="R45" s="65">
        <f>'1a. Incremental Deployment-2022'!R45+'1b. Incremental Deployment-2023'!R45+'1c. Incremental Deployment-2024'!R45+'1d. Incremental Deployment-2025'!R45</f>
        <v>0</v>
      </c>
      <c r="S45" s="58">
        <f>'1a. Incremental Deployment-2022'!S45+'1b. Incremental Deployment-2023'!S45+'1c. Incremental Deployment-2024'!S45+'1d. Incremental Deployment-2025'!S45</f>
        <v>0</v>
      </c>
      <c r="T45" s="58">
        <f>'1a. Incremental Deployment-2022'!T45+'1b. Incremental Deployment-2023'!T45+'1c. Incremental Deployment-2024'!T45+'1d. Incremental Deployment-2025'!T45</f>
        <v>0</v>
      </c>
      <c r="U45" s="203">
        <f>'1a. Incremental Deployment-2022'!U45+'1b. Incremental Deployment-2023'!U45+'1c. Incremental Deployment-2024'!U45+'1d. Incremental Deployment-2025'!U45</f>
        <v>0</v>
      </c>
      <c r="V45" s="65">
        <f>'1a. Incremental Deployment-2022'!V45+'1b. Incremental Deployment-2023'!V45+'1c. Incremental Deployment-2024'!V45+'1d. Incremental Deployment-2025'!V45</f>
        <v>0</v>
      </c>
      <c r="W45" s="65" t="s">
        <v>383</v>
      </c>
      <c r="X45" s="58" t="s">
        <v>383</v>
      </c>
      <c r="Y45" s="58" t="s">
        <v>383</v>
      </c>
      <c r="Z45" s="58" t="s">
        <v>383</v>
      </c>
      <c r="AA45" s="204">
        <f>'1a. Incremental Deployment-2022'!AA45+'1b. Incremental Deployment-2023'!AA45+'1c. Incremental Deployment-2024'!AA45+'1d. Incremental Deployment-2025'!AA45</f>
        <v>0</v>
      </c>
      <c r="AB45" s="69">
        <f>'1a. Incremental Deployment-2022'!AB45+'1b. Incremental Deployment-2023'!AB45+'1c. Incremental Deployment-2024'!AB45+'1d. Incremental Deployment-2025'!AB45</f>
        <v>0</v>
      </c>
      <c r="AC45" s="69" t="s">
        <v>383</v>
      </c>
      <c r="AD45" s="65" t="s">
        <v>383</v>
      </c>
      <c r="AE45" s="198" t="s">
        <v>383</v>
      </c>
      <c r="AF45" s="58">
        <f>'1a. Incremental Deployment-2022'!AF45+'1b. Incremental Deployment-2023'!AF45+'1c. Incremental Deployment-2024'!AF45+'1d. Incremental Deployment-2025'!AF45</f>
        <v>0</v>
      </c>
      <c r="AG45" s="204" t="s">
        <v>383</v>
      </c>
      <c r="AH45" s="69" t="s">
        <v>383</v>
      </c>
      <c r="AI45" s="69">
        <f>'1a. Incremental Deployment-2022'!AI45+'1b. Incremental Deployment-2023'!AI45+'1c. Incremental Deployment-2024'!AI45+'1d. Incremental Deployment-2025'!AI45</f>
        <v>0</v>
      </c>
      <c r="AJ45" s="69" t="s">
        <v>383</v>
      </c>
    </row>
    <row r="46" spans="1:36" s="123" customFormat="1" ht="30" customHeight="1" x14ac:dyDescent="0.3">
      <c r="A46" s="60" t="str">
        <f t="shared" si="0"/>
        <v>Unitil</v>
      </c>
      <c r="B46" s="66" t="s">
        <v>383</v>
      </c>
      <c r="C46" s="66" t="s">
        <v>383</v>
      </c>
      <c r="D46" s="58" t="s">
        <v>422</v>
      </c>
      <c r="E46" s="58" t="s">
        <v>418</v>
      </c>
      <c r="F46" s="496"/>
      <c r="G46" s="496"/>
      <c r="H46" s="497"/>
      <c r="I46" s="58">
        <f>'1a. Incremental Deployment-2022'!I46+'1b. Incremental Deployment-2023'!I46+'1c. Incremental Deployment-2024'!I46+'1d. Incremental Deployment-2025'!I46</f>
        <v>0</v>
      </c>
      <c r="J46" s="58">
        <f>'1a. Incremental Deployment-2022'!J46+'1b. Incremental Deployment-2023'!J46+'1c. Incremental Deployment-2024'!J46+'1d. Incremental Deployment-2025'!J46</f>
        <v>0</v>
      </c>
      <c r="K46" s="66" t="s">
        <v>383</v>
      </c>
      <c r="L46" s="58" t="s">
        <v>383</v>
      </c>
      <c r="M46" s="58" t="s">
        <v>383</v>
      </c>
      <c r="N46" s="65" t="s">
        <v>383</v>
      </c>
      <c r="O46" s="58" t="s">
        <v>383</v>
      </c>
      <c r="P46" s="58" t="s">
        <v>383</v>
      </c>
      <c r="Q46" s="198" t="s">
        <v>383</v>
      </c>
      <c r="R46" s="65">
        <f>'1a. Incremental Deployment-2022'!R46+'1b. Incremental Deployment-2023'!R46+'1c. Incremental Deployment-2024'!R46+'1d. Incremental Deployment-2025'!R46</f>
        <v>0</v>
      </c>
      <c r="S46" s="58">
        <f>'1a. Incremental Deployment-2022'!S46+'1b. Incremental Deployment-2023'!S46+'1c. Incremental Deployment-2024'!S46+'1d. Incremental Deployment-2025'!S46</f>
        <v>0</v>
      </c>
      <c r="T46" s="58">
        <f>'1a. Incremental Deployment-2022'!T46+'1b. Incremental Deployment-2023'!T46+'1c. Incremental Deployment-2024'!T46+'1d. Incremental Deployment-2025'!T46</f>
        <v>0</v>
      </c>
      <c r="U46" s="203">
        <f>'1a. Incremental Deployment-2022'!U46+'1b. Incremental Deployment-2023'!U46+'1c. Incremental Deployment-2024'!U46+'1d. Incremental Deployment-2025'!U46</f>
        <v>0</v>
      </c>
      <c r="V46" s="65">
        <f>'1a. Incremental Deployment-2022'!V46+'1b. Incremental Deployment-2023'!V46+'1c. Incremental Deployment-2024'!V46+'1d. Incremental Deployment-2025'!V46</f>
        <v>0</v>
      </c>
      <c r="W46" s="65" t="s">
        <v>383</v>
      </c>
      <c r="X46" s="58" t="s">
        <v>383</v>
      </c>
      <c r="Y46" s="58" t="s">
        <v>383</v>
      </c>
      <c r="Z46" s="58" t="s">
        <v>383</v>
      </c>
      <c r="AA46" s="204">
        <f>'1a. Incremental Deployment-2022'!AA46+'1b. Incremental Deployment-2023'!AA46+'1c. Incremental Deployment-2024'!AA46+'1d. Incremental Deployment-2025'!AA46</f>
        <v>0</v>
      </c>
      <c r="AB46" s="69">
        <f>'1a. Incremental Deployment-2022'!AB46+'1b. Incremental Deployment-2023'!AB46+'1c. Incremental Deployment-2024'!AB46+'1d. Incremental Deployment-2025'!AB46</f>
        <v>0</v>
      </c>
      <c r="AC46" s="69" t="s">
        <v>383</v>
      </c>
      <c r="AD46" s="65" t="s">
        <v>383</v>
      </c>
      <c r="AE46" s="198" t="s">
        <v>383</v>
      </c>
      <c r="AF46" s="58">
        <f>'1a. Incremental Deployment-2022'!AF46+'1b. Incremental Deployment-2023'!AF46+'1c. Incremental Deployment-2024'!AF46+'1d. Incremental Deployment-2025'!AF46</f>
        <v>0</v>
      </c>
      <c r="AG46" s="204" t="s">
        <v>383</v>
      </c>
      <c r="AH46" s="69" t="s">
        <v>383</v>
      </c>
      <c r="AI46" s="69">
        <f>'1a. Incremental Deployment-2022'!AI46+'1b. Incremental Deployment-2023'!AI46+'1c. Incremental Deployment-2024'!AI46+'1d. Incremental Deployment-2025'!AI46</f>
        <v>0</v>
      </c>
      <c r="AJ46" s="69" t="s">
        <v>383</v>
      </c>
    </row>
    <row r="47" spans="1:36" s="123" customFormat="1" ht="30" customHeight="1" x14ac:dyDescent="0.3">
      <c r="A47" s="60" t="str">
        <f t="shared" si="0"/>
        <v>Unitil</v>
      </c>
      <c r="B47" s="66" t="s">
        <v>383</v>
      </c>
      <c r="C47" s="66" t="s">
        <v>383</v>
      </c>
      <c r="D47" s="58" t="s">
        <v>427</v>
      </c>
      <c r="E47" s="58" t="s">
        <v>385</v>
      </c>
      <c r="F47" s="58" t="s">
        <v>428</v>
      </c>
      <c r="G47" s="58" t="s">
        <v>429</v>
      </c>
      <c r="H47" s="10" t="s">
        <v>387</v>
      </c>
      <c r="I47" s="58">
        <f>'1a. Incremental Deployment-2022'!I47+'1b. Incremental Deployment-2023'!I47+'1c. Incremental Deployment-2024'!I47+'1d. Incremental Deployment-2025'!I47</f>
        <v>0</v>
      </c>
      <c r="J47" s="58">
        <f>'1a. Incremental Deployment-2022'!J47+'1b. Incremental Deployment-2023'!J47+'1c. Incremental Deployment-2024'!J47+'1d. Incremental Deployment-2025'!J47</f>
        <v>0</v>
      </c>
      <c r="K47" s="66" t="s">
        <v>383</v>
      </c>
      <c r="L47" s="58" t="s">
        <v>383</v>
      </c>
      <c r="M47" s="58" t="s">
        <v>383</v>
      </c>
      <c r="N47" s="65" t="s">
        <v>383</v>
      </c>
      <c r="O47" s="58" t="s">
        <v>383</v>
      </c>
      <c r="P47" s="58" t="s">
        <v>383</v>
      </c>
      <c r="Q47" s="198" t="s">
        <v>383</v>
      </c>
      <c r="R47" s="65">
        <f>'1a. Incremental Deployment-2022'!R47+'1b. Incremental Deployment-2023'!R47+'1c. Incremental Deployment-2024'!R47+'1d. Incremental Deployment-2025'!R47</f>
        <v>0</v>
      </c>
      <c r="S47" s="58">
        <f>'1a. Incremental Deployment-2022'!S47+'1b. Incremental Deployment-2023'!S47+'1c. Incremental Deployment-2024'!S47+'1d. Incremental Deployment-2025'!S47</f>
        <v>0</v>
      </c>
      <c r="T47" s="58">
        <f>'1a. Incremental Deployment-2022'!T47+'1b. Incremental Deployment-2023'!T47+'1c. Incremental Deployment-2024'!T47+'1d. Incremental Deployment-2025'!T47</f>
        <v>0</v>
      </c>
      <c r="U47" s="203">
        <f>'1a. Incremental Deployment-2022'!U47+'1b. Incremental Deployment-2023'!U47+'1c. Incremental Deployment-2024'!U47+'1d. Incremental Deployment-2025'!U47</f>
        <v>0</v>
      </c>
      <c r="V47" s="65">
        <f>'1a. Incremental Deployment-2022'!V47+'1b. Incremental Deployment-2023'!V47+'1c. Incremental Deployment-2024'!V47+'1d. Incremental Deployment-2025'!V47</f>
        <v>0</v>
      </c>
      <c r="W47" s="65" t="s">
        <v>383</v>
      </c>
      <c r="X47" s="58" t="s">
        <v>383</v>
      </c>
      <c r="Y47" s="58" t="s">
        <v>383</v>
      </c>
      <c r="Z47" s="58" t="s">
        <v>383</v>
      </c>
      <c r="AA47" s="204">
        <f>'1a. Incremental Deployment-2022'!AA47+'1b. Incremental Deployment-2023'!AA47+'1c. Incremental Deployment-2024'!AA47+'1d. Incremental Deployment-2025'!AA47</f>
        <v>0</v>
      </c>
      <c r="AB47" s="69">
        <f>'1a. Incremental Deployment-2022'!AB47+'1b. Incremental Deployment-2023'!AB47+'1c. Incremental Deployment-2024'!AB47+'1d. Incremental Deployment-2025'!AB47</f>
        <v>0</v>
      </c>
      <c r="AC47" s="69" t="s">
        <v>383</v>
      </c>
      <c r="AD47" s="65" t="s">
        <v>383</v>
      </c>
      <c r="AE47" s="198" t="s">
        <v>383</v>
      </c>
      <c r="AF47" s="58">
        <f>'1a. Incremental Deployment-2022'!AF47+'1b. Incremental Deployment-2023'!AF47+'1c. Incremental Deployment-2024'!AF47+'1d. Incremental Deployment-2025'!AF47</f>
        <v>0</v>
      </c>
      <c r="AG47" s="204" t="s">
        <v>383</v>
      </c>
      <c r="AH47" s="69" t="s">
        <v>383</v>
      </c>
      <c r="AI47" s="69">
        <f>'1a. Incremental Deployment-2022'!AI47+'1b. Incremental Deployment-2023'!AI47+'1c. Incremental Deployment-2024'!AI47+'1d. Incremental Deployment-2025'!AI47</f>
        <v>0</v>
      </c>
      <c r="AJ47" s="69" t="s">
        <v>383</v>
      </c>
    </row>
    <row r="48" spans="1:36" s="123" customFormat="1" ht="30" customHeight="1" x14ac:dyDescent="0.3">
      <c r="A48" s="60" t="str">
        <f t="shared" si="0"/>
        <v>Unitil</v>
      </c>
      <c r="B48" s="66" t="s">
        <v>383</v>
      </c>
      <c r="C48" s="66" t="s">
        <v>383</v>
      </c>
      <c r="D48" s="58" t="s">
        <v>427</v>
      </c>
      <c r="E48" s="58" t="s">
        <v>385</v>
      </c>
      <c r="F48" s="496"/>
      <c r="G48" s="496"/>
      <c r="H48" s="497"/>
      <c r="I48" s="58">
        <f>'1a. Incremental Deployment-2022'!I48+'1b. Incremental Deployment-2023'!I48+'1c. Incremental Deployment-2024'!I48+'1d. Incremental Deployment-2025'!I48</f>
        <v>0</v>
      </c>
      <c r="J48" s="58">
        <f>'1a. Incremental Deployment-2022'!J48+'1b. Incremental Deployment-2023'!J48+'1c. Incremental Deployment-2024'!J48+'1d. Incremental Deployment-2025'!J48</f>
        <v>0</v>
      </c>
      <c r="K48" s="66" t="s">
        <v>383</v>
      </c>
      <c r="L48" s="58" t="s">
        <v>383</v>
      </c>
      <c r="M48" s="58" t="s">
        <v>383</v>
      </c>
      <c r="N48" s="65" t="s">
        <v>383</v>
      </c>
      <c r="O48" s="58" t="s">
        <v>383</v>
      </c>
      <c r="P48" s="58" t="s">
        <v>383</v>
      </c>
      <c r="Q48" s="198" t="s">
        <v>383</v>
      </c>
      <c r="R48" s="65">
        <f>'1a. Incremental Deployment-2022'!R48+'1b. Incremental Deployment-2023'!R48+'1c. Incremental Deployment-2024'!R48+'1d. Incremental Deployment-2025'!R48</f>
        <v>0</v>
      </c>
      <c r="S48" s="58">
        <f>'1a. Incremental Deployment-2022'!S48+'1b. Incremental Deployment-2023'!S48+'1c. Incremental Deployment-2024'!S48+'1d. Incremental Deployment-2025'!S48</f>
        <v>0</v>
      </c>
      <c r="T48" s="58">
        <f>'1a. Incremental Deployment-2022'!T48+'1b. Incremental Deployment-2023'!T48+'1c. Incremental Deployment-2024'!T48+'1d. Incremental Deployment-2025'!T48</f>
        <v>0</v>
      </c>
      <c r="U48" s="203">
        <f>'1a. Incremental Deployment-2022'!U48+'1b. Incremental Deployment-2023'!U48+'1c. Incremental Deployment-2024'!U48+'1d. Incremental Deployment-2025'!U48</f>
        <v>0</v>
      </c>
      <c r="V48" s="65">
        <f>'1a. Incremental Deployment-2022'!V48+'1b. Incremental Deployment-2023'!V48+'1c. Incremental Deployment-2024'!V48+'1d. Incremental Deployment-2025'!V48</f>
        <v>0</v>
      </c>
      <c r="W48" s="65" t="s">
        <v>383</v>
      </c>
      <c r="X48" s="58" t="s">
        <v>383</v>
      </c>
      <c r="Y48" s="58" t="s">
        <v>383</v>
      </c>
      <c r="Z48" s="58" t="s">
        <v>383</v>
      </c>
      <c r="AA48" s="204">
        <f>'1a. Incremental Deployment-2022'!AA48+'1b. Incremental Deployment-2023'!AA48+'1c. Incremental Deployment-2024'!AA48+'1d. Incremental Deployment-2025'!AA48</f>
        <v>0</v>
      </c>
      <c r="AB48" s="69">
        <f>'1a. Incremental Deployment-2022'!AB48+'1b. Incremental Deployment-2023'!AB48+'1c. Incremental Deployment-2024'!AB48+'1d. Incremental Deployment-2025'!AB48</f>
        <v>0</v>
      </c>
      <c r="AC48" s="69" t="s">
        <v>383</v>
      </c>
      <c r="AD48" s="65" t="s">
        <v>383</v>
      </c>
      <c r="AE48" s="198" t="s">
        <v>383</v>
      </c>
      <c r="AF48" s="58">
        <f>'1a. Incremental Deployment-2022'!AF48+'1b. Incremental Deployment-2023'!AF48+'1c. Incremental Deployment-2024'!AF48+'1d. Incremental Deployment-2025'!AF48</f>
        <v>0</v>
      </c>
      <c r="AG48" s="204" t="s">
        <v>383</v>
      </c>
      <c r="AH48" s="69" t="s">
        <v>383</v>
      </c>
      <c r="AI48" s="69">
        <f>'1a. Incremental Deployment-2022'!AI48+'1b. Incremental Deployment-2023'!AI48+'1c. Incremental Deployment-2024'!AI48+'1d. Incremental Deployment-2025'!AI48</f>
        <v>0</v>
      </c>
      <c r="AJ48" s="69" t="s">
        <v>383</v>
      </c>
    </row>
    <row r="49" spans="1:36" s="123" customFormat="1" ht="30" customHeight="1" x14ac:dyDescent="0.3">
      <c r="A49" s="60" t="str">
        <f t="shared" si="0"/>
        <v>Unitil</v>
      </c>
      <c r="B49" s="66" t="s">
        <v>383</v>
      </c>
      <c r="C49" s="66" t="s">
        <v>383</v>
      </c>
      <c r="D49" s="58" t="s">
        <v>430</v>
      </c>
      <c r="E49" s="58" t="s">
        <v>395</v>
      </c>
      <c r="F49" s="58" t="s">
        <v>431</v>
      </c>
      <c r="G49" s="58" t="s">
        <v>399</v>
      </c>
      <c r="H49" s="10" t="s">
        <v>387</v>
      </c>
      <c r="I49" s="58">
        <f>'1a. Incremental Deployment-2022'!I49+'1b. Incremental Deployment-2023'!I49+'1c. Incremental Deployment-2024'!I49+'1d. Incremental Deployment-2025'!I49</f>
        <v>0</v>
      </c>
      <c r="J49" s="58">
        <f>'1a. Incremental Deployment-2022'!J49+'1b. Incremental Deployment-2023'!J49+'1c. Incremental Deployment-2024'!J49+'1d. Incremental Deployment-2025'!J49</f>
        <v>0</v>
      </c>
      <c r="K49" s="66" t="s">
        <v>383</v>
      </c>
      <c r="L49" s="58" t="s">
        <v>383</v>
      </c>
      <c r="M49" s="58" t="s">
        <v>383</v>
      </c>
      <c r="N49" s="65" t="s">
        <v>383</v>
      </c>
      <c r="O49" s="58" t="s">
        <v>383</v>
      </c>
      <c r="P49" s="58" t="s">
        <v>383</v>
      </c>
      <c r="Q49" s="198" t="s">
        <v>383</v>
      </c>
      <c r="R49" s="65">
        <f>'1a. Incremental Deployment-2022'!R49+'1b. Incremental Deployment-2023'!R49+'1c. Incremental Deployment-2024'!R49+'1d. Incremental Deployment-2025'!R49</f>
        <v>0</v>
      </c>
      <c r="S49" s="58">
        <f>'1a. Incremental Deployment-2022'!S49+'1b. Incremental Deployment-2023'!S49+'1c. Incremental Deployment-2024'!S49+'1d. Incremental Deployment-2025'!S49</f>
        <v>0</v>
      </c>
      <c r="T49" s="58">
        <f>'1a. Incremental Deployment-2022'!T49+'1b. Incremental Deployment-2023'!T49+'1c. Incremental Deployment-2024'!T49+'1d. Incremental Deployment-2025'!T49</f>
        <v>0</v>
      </c>
      <c r="U49" s="203">
        <f>'1a. Incremental Deployment-2022'!U49+'1b. Incremental Deployment-2023'!U49+'1c. Incremental Deployment-2024'!U49+'1d. Incremental Deployment-2025'!U49</f>
        <v>0</v>
      </c>
      <c r="V49" s="65">
        <f>'1a. Incremental Deployment-2022'!V49+'1b. Incremental Deployment-2023'!V49+'1c. Incremental Deployment-2024'!V49+'1d. Incremental Deployment-2025'!V49</f>
        <v>0</v>
      </c>
      <c r="W49" s="65" t="s">
        <v>383</v>
      </c>
      <c r="X49" s="58" t="s">
        <v>383</v>
      </c>
      <c r="Y49" s="58" t="s">
        <v>383</v>
      </c>
      <c r="Z49" s="58" t="s">
        <v>383</v>
      </c>
      <c r="AA49" s="204">
        <f>'1a. Incremental Deployment-2022'!AA49+'1b. Incremental Deployment-2023'!AA49+'1c. Incremental Deployment-2024'!AA49+'1d. Incremental Deployment-2025'!AA49</f>
        <v>0</v>
      </c>
      <c r="AB49" s="69">
        <f>'1a. Incremental Deployment-2022'!AB49+'1b. Incremental Deployment-2023'!AB49+'1c. Incremental Deployment-2024'!AB49+'1d. Incremental Deployment-2025'!AB49</f>
        <v>0</v>
      </c>
      <c r="AC49" s="69" t="s">
        <v>383</v>
      </c>
      <c r="AD49" s="65" t="s">
        <v>383</v>
      </c>
      <c r="AE49" s="198" t="s">
        <v>383</v>
      </c>
      <c r="AF49" s="58">
        <f>'1a. Incremental Deployment-2022'!AF49+'1b. Incremental Deployment-2023'!AF49+'1c. Incremental Deployment-2024'!AF49+'1d. Incremental Deployment-2025'!AF49</f>
        <v>0</v>
      </c>
      <c r="AG49" s="204" t="s">
        <v>383</v>
      </c>
      <c r="AH49" s="69" t="s">
        <v>383</v>
      </c>
      <c r="AI49" s="69">
        <f>'1a. Incremental Deployment-2022'!AI49+'1b. Incremental Deployment-2023'!AI49+'1c. Incremental Deployment-2024'!AI49+'1d. Incremental Deployment-2025'!AI49</f>
        <v>0</v>
      </c>
      <c r="AJ49" s="69" t="s">
        <v>383</v>
      </c>
    </row>
    <row r="50" spans="1:36" s="123" customFormat="1" ht="30" customHeight="1" x14ac:dyDescent="0.3">
      <c r="A50" s="60" t="str">
        <f t="shared" si="0"/>
        <v>Unitil</v>
      </c>
      <c r="B50" s="66" t="s">
        <v>383</v>
      </c>
      <c r="C50" s="66" t="s">
        <v>383</v>
      </c>
      <c r="D50" s="58" t="s">
        <v>430</v>
      </c>
      <c r="E50" s="58" t="s">
        <v>395</v>
      </c>
      <c r="F50" s="58" t="s">
        <v>432</v>
      </c>
      <c r="G50" s="58" t="s">
        <v>433</v>
      </c>
      <c r="H50" s="10" t="s">
        <v>387</v>
      </c>
      <c r="I50" s="58">
        <f>'1a. Incremental Deployment-2022'!I50+'1b. Incremental Deployment-2023'!I50+'1c. Incremental Deployment-2024'!I50+'1d. Incremental Deployment-2025'!I50</f>
        <v>0</v>
      </c>
      <c r="J50" s="58">
        <f>'1a. Incremental Deployment-2022'!J50+'1b. Incremental Deployment-2023'!J50+'1c. Incremental Deployment-2024'!J50+'1d. Incremental Deployment-2025'!J50</f>
        <v>0</v>
      </c>
      <c r="K50" s="66" t="s">
        <v>383</v>
      </c>
      <c r="L50" s="58" t="s">
        <v>383</v>
      </c>
      <c r="M50" s="58" t="s">
        <v>383</v>
      </c>
      <c r="N50" s="65" t="s">
        <v>383</v>
      </c>
      <c r="O50" s="58" t="s">
        <v>383</v>
      </c>
      <c r="P50" s="58" t="s">
        <v>383</v>
      </c>
      <c r="Q50" s="198" t="s">
        <v>383</v>
      </c>
      <c r="R50" s="65">
        <f>'1a. Incremental Deployment-2022'!R50+'1b. Incremental Deployment-2023'!R50+'1c. Incremental Deployment-2024'!R50+'1d. Incremental Deployment-2025'!R50</f>
        <v>0</v>
      </c>
      <c r="S50" s="58">
        <f>'1a. Incremental Deployment-2022'!S50+'1b. Incremental Deployment-2023'!S50+'1c. Incremental Deployment-2024'!S50+'1d. Incremental Deployment-2025'!S50</f>
        <v>0</v>
      </c>
      <c r="T50" s="58">
        <f>'1a. Incremental Deployment-2022'!T50+'1b. Incremental Deployment-2023'!T50+'1c. Incremental Deployment-2024'!T50+'1d. Incremental Deployment-2025'!T50</f>
        <v>0</v>
      </c>
      <c r="U50" s="203">
        <f>'1a. Incremental Deployment-2022'!U50+'1b. Incremental Deployment-2023'!U50+'1c. Incremental Deployment-2024'!U50+'1d. Incremental Deployment-2025'!U50</f>
        <v>0</v>
      </c>
      <c r="V50" s="65">
        <f>'1a. Incremental Deployment-2022'!V50+'1b. Incremental Deployment-2023'!V50+'1c. Incremental Deployment-2024'!V50+'1d. Incremental Deployment-2025'!V50</f>
        <v>0</v>
      </c>
      <c r="W50" s="65" t="s">
        <v>383</v>
      </c>
      <c r="X50" s="58" t="s">
        <v>383</v>
      </c>
      <c r="Y50" s="58" t="s">
        <v>383</v>
      </c>
      <c r="Z50" s="58" t="s">
        <v>383</v>
      </c>
      <c r="AA50" s="204">
        <f>'1a. Incremental Deployment-2022'!AA50+'1b. Incremental Deployment-2023'!AA50+'1c. Incremental Deployment-2024'!AA50+'1d. Incremental Deployment-2025'!AA50</f>
        <v>0</v>
      </c>
      <c r="AB50" s="69">
        <f>'1a. Incremental Deployment-2022'!AB50+'1b. Incremental Deployment-2023'!AB50+'1c. Incremental Deployment-2024'!AB50+'1d. Incremental Deployment-2025'!AB50</f>
        <v>0</v>
      </c>
      <c r="AC50" s="69" t="s">
        <v>383</v>
      </c>
      <c r="AD50" s="65" t="s">
        <v>383</v>
      </c>
      <c r="AE50" s="198" t="s">
        <v>383</v>
      </c>
      <c r="AF50" s="58">
        <f>'1a. Incremental Deployment-2022'!AF50+'1b. Incremental Deployment-2023'!AF50+'1c. Incremental Deployment-2024'!AF50+'1d. Incremental Deployment-2025'!AF50</f>
        <v>0</v>
      </c>
      <c r="AG50" s="204" t="s">
        <v>383</v>
      </c>
      <c r="AH50" s="69" t="s">
        <v>383</v>
      </c>
      <c r="AI50" s="69">
        <f>'1a. Incremental Deployment-2022'!AI50+'1b. Incremental Deployment-2023'!AI50+'1c. Incremental Deployment-2024'!AI50+'1d. Incremental Deployment-2025'!AI50</f>
        <v>0</v>
      </c>
      <c r="AJ50" s="69" t="s">
        <v>383</v>
      </c>
    </row>
    <row r="51" spans="1:36" s="123" customFormat="1" ht="30" customHeight="1" x14ac:dyDescent="0.3">
      <c r="A51" s="60" t="str">
        <f t="shared" si="0"/>
        <v>Unitil</v>
      </c>
      <c r="B51" s="66" t="s">
        <v>383</v>
      </c>
      <c r="C51" s="66" t="s">
        <v>383</v>
      </c>
      <c r="D51" s="58" t="s">
        <v>430</v>
      </c>
      <c r="E51" s="58" t="s">
        <v>395</v>
      </c>
      <c r="F51" s="496"/>
      <c r="G51" s="496"/>
      <c r="H51" s="497"/>
      <c r="I51" s="58">
        <f>'1a. Incremental Deployment-2022'!I51+'1b. Incremental Deployment-2023'!I51+'1c. Incremental Deployment-2024'!I51+'1d. Incremental Deployment-2025'!I51</f>
        <v>0</v>
      </c>
      <c r="J51" s="58">
        <f>'1a. Incremental Deployment-2022'!J51+'1b. Incremental Deployment-2023'!J51+'1c. Incremental Deployment-2024'!J51+'1d. Incremental Deployment-2025'!J51</f>
        <v>0</v>
      </c>
      <c r="K51" s="66" t="s">
        <v>383</v>
      </c>
      <c r="L51" s="58" t="s">
        <v>383</v>
      </c>
      <c r="M51" s="58" t="s">
        <v>383</v>
      </c>
      <c r="N51" s="65" t="s">
        <v>383</v>
      </c>
      <c r="O51" s="58" t="s">
        <v>383</v>
      </c>
      <c r="P51" s="58" t="s">
        <v>383</v>
      </c>
      <c r="Q51" s="198" t="s">
        <v>383</v>
      </c>
      <c r="R51" s="65">
        <f>'1a. Incremental Deployment-2022'!R51+'1b. Incremental Deployment-2023'!R51+'1c. Incremental Deployment-2024'!R51+'1d. Incremental Deployment-2025'!R51</f>
        <v>0</v>
      </c>
      <c r="S51" s="58">
        <f>'1a. Incremental Deployment-2022'!S51+'1b. Incremental Deployment-2023'!S51+'1c. Incremental Deployment-2024'!S51+'1d. Incremental Deployment-2025'!S51</f>
        <v>0</v>
      </c>
      <c r="T51" s="58">
        <f>'1a. Incremental Deployment-2022'!T51+'1b. Incremental Deployment-2023'!T51+'1c. Incremental Deployment-2024'!T51+'1d. Incremental Deployment-2025'!T51</f>
        <v>0</v>
      </c>
      <c r="U51" s="203">
        <f>'1a. Incremental Deployment-2022'!U51+'1b. Incremental Deployment-2023'!U51+'1c. Incremental Deployment-2024'!U51+'1d. Incremental Deployment-2025'!U51</f>
        <v>0</v>
      </c>
      <c r="V51" s="65">
        <f>'1a. Incremental Deployment-2022'!V51+'1b. Incremental Deployment-2023'!V51+'1c. Incremental Deployment-2024'!V51+'1d. Incremental Deployment-2025'!V51</f>
        <v>0</v>
      </c>
      <c r="W51" s="65" t="s">
        <v>383</v>
      </c>
      <c r="X51" s="58" t="s">
        <v>383</v>
      </c>
      <c r="Y51" s="58" t="s">
        <v>383</v>
      </c>
      <c r="Z51" s="58" t="s">
        <v>383</v>
      </c>
      <c r="AA51" s="204">
        <f>'1a. Incremental Deployment-2022'!AA51+'1b. Incremental Deployment-2023'!AA51+'1c. Incremental Deployment-2024'!AA51+'1d. Incremental Deployment-2025'!AA51</f>
        <v>0</v>
      </c>
      <c r="AB51" s="69">
        <f>'1a. Incremental Deployment-2022'!AB51+'1b. Incremental Deployment-2023'!AB51+'1c. Incremental Deployment-2024'!AB51+'1d. Incremental Deployment-2025'!AB51</f>
        <v>0</v>
      </c>
      <c r="AC51" s="69" t="s">
        <v>383</v>
      </c>
      <c r="AD51" s="65" t="s">
        <v>383</v>
      </c>
      <c r="AE51" s="198" t="s">
        <v>383</v>
      </c>
      <c r="AF51" s="58">
        <f>'1a. Incremental Deployment-2022'!AF51+'1b. Incremental Deployment-2023'!AF51+'1c. Incremental Deployment-2024'!AF51+'1d. Incremental Deployment-2025'!AF51</f>
        <v>0</v>
      </c>
      <c r="AG51" s="204" t="s">
        <v>383</v>
      </c>
      <c r="AH51" s="69" t="s">
        <v>383</v>
      </c>
      <c r="AI51" s="69">
        <f>'1a. Incremental Deployment-2022'!AI51+'1b. Incremental Deployment-2023'!AI51+'1c. Incremental Deployment-2024'!AI51+'1d. Incremental Deployment-2025'!AI51</f>
        <v>0</v>
      </c>
      <c r="AJ51" s="69" t="s">
        <v>383</v>
      </c>
    </row>
    <row r="52" spans="1:36" s="123" customFormat="1" ht="30" customHeight="1" x14ac:dyDescent="0.3">
      <c r="A52" s="60" t="str">
        <f t="shared" si="0"/>
        <v>Unitil</v>
      </c>
      <c r="B52" s="66" t="s">
        <v>383</v>
      </c>
      <c r="C52" s="66" t="s">
        <v>383</v>
      </c>
      <c r="D52" s="58" t="s">
        <v>434</v>
      </c>
      <c r="E52" s="58" t="s">
        <v>385</v>
      </c>
      <c r="F52" s="58" t="s">
        <v>435</v>
      </c>
      <c r="G52" s="58" t="s">
        <v>385</v>
      </c>
      <c r="H52" s="10" t="s">
        <v>387</v>
      </c>
      <c r="I52" s="58">
        <f>'1a. Incremental Deployment-2022'!I52+'1b. Incremental Deployment-2023'!I52+'1c. Incremental Deployment-2024'!I52+'1d. Incremental Deployment-2025'!I52</f>
        <v>0</v>
      </c>
      <c r="J52" s="58">
        <f>'1a. Incremental Deployment-2022'!J52+'1b. Incremental Deployment-2023'!J52+'1c. Incremental Deployment-2024'!J52+'1d. Incremental Deployment-2025'!J52</f>
        <v>0</v>
      </c>
      <c r="K52" s="66" t="s">
        <v>383</v>
      </c>
      <c r="L52" s="58" t="s">
        <v>383</v>
      </c>
      <c r="M52" s="58" t="s">
        <v>383</v>
      </c>
      <c r="N52" s="65" t="s">
        <v>383</v>
      </c>
      <c r="O52" s="58" t="s">
        <v>383</v>
      </c>
      <c r="P52" s="58" t="s">
        <v>383</v>
      </c>
      <c r="Q52" s="198" t="s">
        <v>383</v>
      </c>
      <c r="R52" s="65">
        <f>'1a. Incremental Deployment-2022'!R52+'1b. Incremental Deployment-2023'!R52+'1c. Incremental Deployment-2024'!R52+'1d. Incremental Deployment-2025'!R52</f>
        <v>0</v>
      </c>
      <c r="S52" s="58">
        <f>'1a. Incremental Deployment-2022'!S52+'1b. Incremental Deployment-2023'!S52+'1c. Incremental Deployment-2024'!S52+'1d. Incremental Deployment-2025'!S52</f>
        <v>0</v>
      </c>
      <c r="T52" s="58">
        <f>'1a. Incremental Deployment-2022'!T52+'1b. Incremental Deployment-2023'!T52+'1c. Incremental Deployment-2024'!T52+'1d. Incremental Deployment-2025'!T52</f>
        <v>0</v>
      </c>
      <c r="U52" s="203">
        <f>'1a. Incremental Deployment-2022'!U52+'1b. Incremental Deployment-2023'!U52+'1c. Incremental Deployment-2024'!U52+'1d. Incremental Deployment-2025'!U52</f>
        <v>0</v>
      </c>
      <c r="V52" s="65">
        <f>'1a. Incremental Deployment-2022'!V52+'1b. Incremental Deployment-2023'!V52+'1c. Incremental Deployment-2024'!V52+'1d. Incremental Deployment-2025'!V52</f>
        <v>1</v>
      </c>
      <c r="W52" s="65" t="s">
        <v>383</v>
      </c>
      <c r="X52" s="58" t="s">
        <v>383</v>
      </c>
      <c r="Y52" s="58" t="s">
        <v>383</v>
      </c>
      <c r="Z52" s="58" t="s">
        <v>383</v>
      </c>
      <c r="AA52" s="204">
        <f>'1a. Incremental Deployment-2022'!AA52+'1b. Incremental Deployment-2023'!AA52+'1c. Incremental Deployment-2024'!AA52+'1d. Incremental Deployment-2025'!AA52</f>
        <v>0</v>
      </c>
      <c r="AB52" s="69">
        <f>'1a. Incremental Deployment-2022'!AB52+'1b. Incremental Deployment-2023'!AB52+'1c. Incremental Deployment-2024'!AB52+'1d. Incremental Deployment-2025'!AB52</f>
        <v>0</v>
      </c>
      <c r="AC52" s="69" t="s">
        <v>383</v>
      </c>
      <c r="AD52" s="65" t="s">
        <v>383</v>
      </c>
      <c r="AE52" s="198" t="s">
        <v>383</v>
      </c>
      <c r="AF52" s="58">
        <f>'1a. Incremental Deployment-2022'!AF52+'1b. Incremental Deployment-2023'!AF52+'1c. Incremental Deployment-2024'!AF52+'1d. Incremental Deployment-2025'!AF52</f>
        <v>0</v>
      </c>
      <c r="AG52" s="204" t="s">
        <v>383</v>
      </c>
      <c r="AH52" s="69" t="s">
        <v>383</v>
      </c>
      <c r="AI52" s="69">
        <f>'1a. Incremental Deployment-2022'!AI52+'1b. Incremental Deployment-2023'!AI52+'1c. Incremental Deployment-2024'!AI52+'1d. Incremental Deployment-2025'!AI52</f>
        <v>0</v>
      </c>
      <c r="AJ52" s="69" t="s">
        <v>383</v>
      </c>
    </row>
    <row r="53" spans="1:36" s="123" customFormat="1" ht="30" customHeight="1" x14ac:dyDescent="0.3">
      <c r="A53" s="60" t="str">
        <f t="shared" si="0"/>
        <v>Unitil</v>
      </c>
      <c r="B53" s="66" t="s">
        <v>383</v>
      </c>
      <c r="C53" s="66" t="s">
        <v>383</v>
      </c>
      <c r="D53" s="58" t="s">
        <v>434</v>
      </c>
      <c r="E53" s="58" t="s">
        <v>385</v>
      </c>
      <c r="F53" s="58" t="s">
        <v>436</v>
      </c>
      <c r="G53" s="58" t="s">
        <v>385</v>
      </c>
      <c r="H53" s="10" t="s">
        <v>387</v>
      </c>
      <c r="I53" s="58">
        <f>'1a. Incremental Deployment-2022'!I53+'1b. Incremental Deployment-2023'!I53+'1c. Incremental Deployment-2024'!I53+'1d. Incremental Deployment-2025'!I53</f>
        <v>0</v>
      </c>
      <c r="J53" s="58">
        <f>'1a. Incremental Deployment-2022'!J53+'1b. Incremental Deployment-2023'!J53+'1c. Incremental Deployment-2024'!J53+'1d. Incremental Deployment-2025'!J53</f>
        <v>0</v>
      </c>
      <c r="K53" s="66" t="s">
        <v>383</v>
      </c>
      <c r="L53" s="58" t="s">
        <v>383</v>
      </c>
      <c r="M53" s="58" t="s">
        <v>383</v>
      </c>
      <c r="N53" s="65" t="s">
        <v>383</v>
      </c>
      <c r="O53" s="58" t="s">
        <v>383</v>
      </c>
      <c r="P53" s="58" t="s">
        <v>383</v>
      </c>
      <c r="Q53" s="198" t="s">
        <v>383</v>
      </c>
      <c r="R53" s="65">
        <f>'1a. Incremental Deployment-2022'!R53+'1b. Incremental Deployment-2023'!R53+'1c. Incremental Deployment-2024'!R53+'1d. Incremental Deployment-2025'!R53</f>
        <v>0</v>
      </c>
      <c r="S53" s="58">
        <f>'1a. Incremental Deployment-2022'!S53+'1b. Incremental Deployment-2023'!S53+'1c. Incremental Deployment-2024'!S53+'1d. Incremental Deployment-2025'!S53</f>
        <v>1</v>
      </c>
      <c r="T53" s="58">
        <f>'1a. Incremental Deployment-2022'!T53+'1b. Incremental Deployment-2023'!T53+'1c. Incremental Deployment-2024'!T53+'1d. Incremental Deployment-2025'!T53</f>
        <v>0</v>
      </c>
      <c r="U53" s="203">
        <f>'1a. Incremental Deployment-2022'!U53+'1b. Incremental Deployment-2023'!U53+'1c. Incremental Deployment-2024'!U53+'1d. Incremental Deployment-2025'!U53</f>
        <v>12</v>
      </c>
      <c r="V53" s="65">
        <f>'1a. Incremental Deployment-2022'!V53+'1b. Incremental Deployment-2023'!V53+'1c. Incremental Deployment-2024'!V53+'1d. Incremental Deployment-2025'!V53</f>
        <v>1</v>
      </c>
      <c r="W53" s="65" t="s">
        <v>383</v>
      </c>
      <c r="X53" s="58" t="s">
        <v>383</v>
      </c>
      <c r="Y53" s="58" t="s">
        <v>383</v>
      </c>
      <c r="Z53" s="58" t="s">
        <v>383</v>
      </c>
      <c r="AA53" s="204">
        <f>'1a. Incremental Deployment-2022'!AA53+'1b. Incremental Deployment-2023'!AA53+'1c. Incremental Deployment-2024'!AA53+'1d. Incremental Deployment-2025'!AA53</f>
        <v>5</v>
      </c>
      <c r="AB53" s="69">
        <f>'1a. Incremental Deployment-2022'!AB53+'1b. Incremental Deployment-2023'!AB53+'1c. Incremental Deployment-2024'!AB53+'1d. Incremental Deployment-2025'!AB53</f>
        <v>0</v>
      </c>
      <c r="AC53" s="69" t="s">
        <v>383</v>
      </c>
      <c r="AD53" s="65" t="s">
        <v>383</v>
      </c>
      <c r="AE53" s="198" t="s">
        <v>383</v>
      </c>
      <c r="AF53" s="58">
        <f>'1a. Incremental Deployment-2022'!AF53+'1b. Incremental Deployment-2023'!AF53+'1c. Incremental Deployment-2024'!AF53+'1d. Incremental Deployment-2025'!AF53</f>
        <v>0</v>
      </c>
      <c r="AG53" s="204" t="s">
        <v>383</v>
      </c>
      <c r="AH53" s="69" t="s">
        <v>383</v>
      </c>
      <c r="AI53" s="69">
        <f>'1a. Incremental Deployment-2022'!AI53+'1b. Incremental Deployment-2023'!AI53+'1c. Incremental Deployment-2024'!AI53+'1d. Incremental Deployment-2025'!AI53</f>
        <v>0</v>
      </c>
      <c r="AJ53" s="69" t="s">
        <v>383</v>
      </c>
    </row>
    <row r="54" spans="1:36" s="123" customFormat="1" ht="30" customHeight="1" x14ac:dyDescent="0.3">
      <c r="A54" s="60" t="str">
        <f t="shared" si="0"/>
        <v>Unitil</v>
      </c>
      <c r="B54" s="66" t="s">
        <v>383</v>
      </c>
      <c r="C54" s="66" t="s">
        <v>383</v>
      </c>
      <c r="D54" s="58" t="s">
        <v>434</v>
      </c>
      <c r="E54" s="58" t="s">
        <v>385</v>
      </c>
      <c r="F54" s="58" t="s">
        <v>437</v>
      </c>
      <c r="G54" s="58" t="s">
        <v>438</v>
      </c>
      <c r="H54" s="10" t="s">
        <v>387</v>
      </c>
      <c r="I54" s="58">
        <f>'1a. Incremental Deployment-2022'!I54+'1b. Incremental Deployment-2023'!I54+'1c. Incremental Deployment-2024'!I54+'1d. Incremental Deployment-2025'!I54</f>
        <v>0</v>
      </c>
      <c r="J54" s="58">
        <f>'1a. Incremental Deployment-2022'!J54+'1b. Incremental Deployment-2023'!J54+'1c. Incremental Deployment-2024'!J54+'1d. Incremental Deployment-2025'!J54</f>
        <v>0</v>
      </c>
      <c r="K54" s="66" t="s">
        <v>383</v>
      </c>
      <c r="L54" s="58" t="s">
        <v>383</v>
      </c>
      <c r="M54" s="58" t="s">
        <v>383</v>
      </c>
      <c r="N54" s="65" t="s">
        <v>383</v>
      </c>
      <c r="O54" s="58" t="s">
        <v>383</v>
      </c>
      <c r="P54" s="58" t="s">
        <v>383</v>
      </c>
      <c r="Q54" s="198" t="s">
        <v>383</v>
      </c>
      <c r="R54" s="65">
        <f>'1a. Incremental Deployment-2022'!R54+'1b. Incremental Deployment-2023'!R54+'1c. Incremental Deployment-2024'!R54+'1d. Incremental Deployment-2025'!R54</f>
        <v>9</v>
      </c>
      <c r="S54" s="58">
        <f>'1a. Incremental Deployment-2022'!S54+'1b. Incremental Deployment-2023'!S54+'1c. Incremental Deployment-2024'!S54+'1d. Incremental Deployment-2025'!S54</f>
        <v>2</v>
      </c>
      <c r="T54" s="58">
        <f>'1a. Incremental Deployment-2022'!T54+'1b. Incremental Deployment-2023'!T54+'1c. Incremental Deployment-2024'!T54+'1d. Incremental Deployment-2025'!T54</f>
        <v>0</v>
      </c>
      <c r="U54" s="203">
        <f>'1a. Incremental Deployment-2022'!U54+'1b. Incremental Deployment-2023'!U54+'1c. Incremental Deployment-2024'!U54+'1d. Incremental Deployment-2025'!U54</f>
        <v>12</v>
      </c>
      <c r="V54" s="65">
        <f>'1a. Incremental Deployment-2022'!V54+'1b. Incremental Deployment-2023'!V54+'1c. Incremental Deployment-2024'!V54+'1d. Incremental Deployment-2025'!V54</f>
        <v>1</v>
      </c>
      <c r="W54" s="65" t="s">
        <v>383</v>
      </c>
      <c r="X54" s="58" t="s">
        <v>383</v>
      </c>
      <c r="Y54" s="58" t="s">
        <v>383</v>
      </c>
      <c r="Z54" s="58" t="s">
        <v>383</v>
      </c>
      <c r="AA54" s="204">
        <f>'1a. Incremental Deployment-2022'!AA54+'1b. Incremental Deployment-2023'!AA54+'1c. Incremental Deployment-2024'!AA54+'1d. Incremental Deployment-2025'!AA54</f>
        <v>19</v>
      </c>
      <c r="AB54" s="69">
        <f>'1a. Incremental Deployment-2022'!AB54+'1b. Incremental Deployment-2023'!AB54+'1c. Incremental Deployment-2024'!AB54+'1d. Incremental Deployment-2025'!AB54</f>
        <v>0</v>
      </c>
      <c r="AC54" s="69" t="s">
        <v>383</v>
      </c>
      <c r="AD54" s="65" t="s">
        <v>383</v>
      </c>
      <c r="AE54" s="198" t="s">
        <v>383</v>
      </c>
      <c r="AF54" s="58">
        <f>'1a. Incremental Deployment-2022'!AF54+'1b. Incremental Deployment-2023'!AF54+'1c. Incremental Deployment-2024'!AF54+'1d. Incremental Deployment-2025'!AF54</f>
        <v>0</v>
      </c>
      <c r="AG54" s="204" t="s">
        <v>383</v>
      </c>
      <c r="AH54" s="69" t="s">
        <v>383</v>
      </c>
      <c r="AI54" s="69">
        <f>'1a. Incremental Deployment-2022'!AI54+'1b. Incremental Deployment-2023'!AI54+'1c. Incremental Deployment-2024'!AI54+'1d. Incremental Deployment-2025'!AI54</f>
        <v>0</v>
      </c>
      <c r="AJ54" s="69" t="s">
        <v>383</v>
      </c>
    </row>
    <row r="55" spans="1:36" s="123" customFormat="1" ht="30" customHeight="1" x14ac:dyDescent="0.3">
      <c r="A55" s="60" t="str">
        <f t="shared" si="0"/>
        <v>Unitil</v>
      </c>
      <c r="B55" s="66" t="s">
        <v>383</v>
      </c>
      <c r="C55" s="66" t="s">
        <v>383</v>
      </c>
      <c r="D55" s="58" t="s">
        <v>434</v>
      </c>
      <c r="E55" s="58" t="s">
        <v>385</v>
      </c>
      <c r="F55" s="58" t="s">
        <v>439</v>
      </c>
      <c r="G55" s="58" t="s">
        <v>385</v>
      </c>
      <c r="H55" s="10" t="s">
        <v>387</v>
      </c>
      <c r="I55" s="58">
        <f>'1a. Incremental Deployment-2022'!I55+'1b. Incremental Deployment-2023'!I55+'1c. Incremental Deployment-2024'!I55+'1d. Incremental Deployment-2025'!I55</f>
        <v>0</v>
      </c>
      <c r="J55" s="58">
        <f>'1a. Incremental Deployment-2022'!J55+'1b. Incremental Deployment-2023'!J55+'1c. Incremental Deployment-2024'!J55+'1d. Incremental Deployment-2025'!J55</f>
        <v>0</v>
      </c>
      <c r="K55" s="66" t="s">
        <v>383</v>
      </c>
      <c r="L55" s="58" t="s">
        <v>383</v>
      </c>
      <c r="M55" s="58" t="s">
        <v>383</v>
      </c>
      <c r="N55" s="65" t="s">
        <v>383</v>
      </c>
      <c r="O55" s="58" t="s">
        <v>383</v>
      </c>
      <c r="P55" s="58" t="s">
        <v>383</v>
      </c>
      <c r="Q55" s="198" t="s">
        <v>383</v>
      </c>
      <c r="R55" s="65">
        <f>'1a. Incremental Deployment-2022'!R55+'1b. Incremental Deployment-2023'!R55+'1c. Incremental Deployment-2024'!R55+'1d. Incremental Deployment-2025'!R55</f>
        <v>3</v>
      </c>
      <c r="S55" s="58">
        <f>'1a. Incremental Deployment-2022'!S55+'1b. Incremental Deployment-2023'!S55+'1c. Incremental Deployment-2024'!S55+'1d. Incremental Deployment-2025'!S55</f>
        <v>1</v>
      </c>
      <c r="T55" s="58">
        <f>'1a. Incremental Deployment-2022'!T55+'1b. Incremental Deployment-2023'!T55+'1c. Incremental Deployment-2024'!T55+'1d. Incremental Deployment-2025'!T55</f>
        <v>0</v>
      </c>
      <c r="U55" s="203">
        <f>'1a. Incremental Deployment-2022'!U55+'1b. Incremental Deployment-2023'!U55+'1c. Incremental Deployment-2024'!U55+'1d. Incremental Deployment-2025'!U55</f>
        <v>6</v>
      </c>
      <c r="V55" s="65">
        <f>'1a. Incremental Deployment-2022'!V55+'1b. Incremental Deployment-2023'!V55+'1c. Incremental Deployment-2024'!V55+'1d. Incremental Deployment-2025'!V55</f>
        <v>1</v>
      </c>
      <c r="W55" s="65" t="s">
        <v>383</v>
      </c>
      <c r="X55" s="58" t="s">
        <v>383</v>
      </c>
      <c r="Y55" s="58" t="s">
        <v>383</v>
      </c>
      <c r="Z55" s="58" t="s">
        <v>383</v>
      </c>
      <c r="AA55" s="204">
        <f>'1a. Incremental Deployment-2022'!AA55+'1b. Incremental Deployment-2023'!AA55+'1c. Incremental Deployment-2024'!AA55+'1d. Incremental Deployment-2025'!AA55</f>
        <v>6</v>
      </c>
      <c r="AB55" s="69">
        <f>'1a. Incremental Deployment-2022'!AB55+'1b. Incremental Deployment-2023'!AB55+'1c. Incremental Deployment-2024'!AB55+'1d. Incremental Deployment-2025'!AB55</f>
        <v>0</v>
      </c>
      <c r="AC55" s="69" t="s">
        <v>383</v>
      </c>
      <c r="AD55" s="65" t="s">
        <v>383</v>
      </c>
      <c r="AE55" s="198" t="s">
        <v>383</v>
      </c>
      <c r="AF55" s="58">
        <f>'1a. Incremental Deployment-2022'!AF55+'1b. Incremental Deployment-2023'!AF55+'1c. Incremental Deployment-2024'!AF55+'1d. Incremental Deployment-2025'!AF55</f>
        <v>0</v>
      </c>
      <c r="AG55" s="204" t="s">
        <v>383</v>
      </c>
      <c r="AH55" s="69" t="s">
        <v>383</v>
      </c>
      <c r="AI55" s="69">
        <f>'1a. Incremental Deployment-2022'!AI55+'1b. Incremental Deployment-2023'!AI55+'1c. Incremental Deployment-2024'!AI55+'1d. Incremental Deployment-2025'!AI55</f>
        <v>0</v>
      </c>
      <c r="AJ55" s="69" t="s">
        <v>383</v>
      </c>
    </row>
    <row r="56" spans="1:36" s="123" customFormat="1" ht="30" customHeight="1" x14ac:dyDescent="0.3">
      <c r="A56" s="60" t="str">
        <f t="shared" si="0"/>
        <v>Unitil</v>
      </c>
      <c r="B56" s="66" t="s">
        <v>383</v>
      </c>
      <c r="C56" s="66" t="s">
        <v>383</v>
      </c>
      <c r="D56" s="58" t="s">
        <v>434</v>
      </c>
      <c r="E56" s="58" t="s">
        <v>385</v>
      </c>
      <c r="F56" s="58">
        <v>1303</v>
      </c>
      <c r="G56" s="58" t="s">
        <v>385</v>
      </c>
      <c r="H56" s="10" t="s">
        <v>387</v>
      </c>
      <c r="I56" s="58">
        <f>'1a. Incremental Deployment-2022'!I56+'1b. Incremental Deployment-2023'!I56+'1c. Incremental Deployment-2024'!I56+'1d. Incremental Deployment-2025'!I56</f>
        <v>0</v>
      </c>
      <c r="J56" s="58">
        <f>'1a. Incremental Deployment-2022'!J56+'1b. Incremental Deployment-2023'!J56+'1c. Incremental Deployment-2024'!J56+'1d. Incremental Deployment-2025'!J56</f>
        <v>0</v>
      </c>
      <c r="K56" s="66" t="s">
        <v>383</v>
      </c>
      <c r="L56" s="58" t="s">
        <v>383</v>
      </c>
      <c r="M56" s="58" t="s">
        <v>383</v>
      </c>
      <c r="N56" s="65" t="s">
        <v>383</v>
      </c>
      <c r="O56" s="58" t="s">
        <v>383</v>
      </c>
      <c r="P56" s="58" t="s">
        <v>383</v>
      </c>
      <c r="Q56" s="198" t="s">
        <v>383</v>
      </c>
      <c r="R56" s="65">
        <f>'1a. Incremental Deployment-2022'!R56+'1b. Incremental Deployment-2023'!R56+'1c. Incremental Deployment-2024'!R56+'1d. Incremental Deployment-2025'!R56</f>
        <v>0</v>
      </c>
      <c r="S56" s="58">
        <f>'1a. Incremental Deployment-2022'!S56+'1b. Incremental Deployment-2023'!S56+'1c. Incremental Deployment-2024'!S56+'1d. Incremental Deployment-2025'!S56</f>
        <v>0</v>
      </c>
      <c r="T56" s="58">
        <f>'1a. Incremental Deployment-2022'!T56+'1b. Incremental Deployment-2023'!T56+'1c. Incremental Deployment-2024'!T56+'1d. Incremental Deployment-2025'!T56</f>
        <v>0</v>
      </c>
      <c r="U56" s="203">
        <f>'1a. Incremental Deployment-2022'!U56+'1b. Incremental Deployment-2023'!U56+'1c. Incremental Deployment-2024'!U56+'1d. Incremental Deployment-2025'!U56</f>
        <v>0</v>
      </c>
      <c r="V56" s="65">
        <f>'1a. Incremental Deployment-2022'!V56+'1b. Incremental Deployment-2023'!V56+'1c. Incremental Deployment-2024'!V56+'1d. Incremental Deployment-2025'!V56</f>
        <v>1</v>
      </c>
      <c r="W56" s="65" t="s">
        <v>383</v>
      </c>
      <c r="X56" s="58" t="s">
        <v>383</v>
      </c>
      <c r="Y56" s="58" t="s">
        <v>383</v>
      </c>
      <c r="Z56" s="58" t="s">
        <v>383</v>
      </c>
      <c r="AA56" s="204">
        <f>'1a. Incremental Deployment-2022'!AA56+'1b. Incremental Deployment-2023'!AA56+'1c. Incremental Deployment-2024'!AA56+'1d. Incremental Deployment-2025'!AA56</f>
        <v>0</v>
      </c>
      <c r="AB56" s="69">
        <f>'1a. Incremental Deployment-2022'!AB56+'1b. Incremental Deployment-2023'!AB56+'1c. Incremental Deployment-2024'!AB56+'1d. Incremental Deployment-2025'!AB56</f>
        <v>0</v>
      </c>
      <c r="AC56" s="69" t="s">
        <v>383</v>
      </c>
      <c r="AD56" s="65" t="s">
        <v>383</v>
      </c>
      <c r="AE56" s="198" t="s">
        <v>383</v>
      </c>
      <c r="AF56" s="58">
        <f>'1a. Incremental Deployment-2022'!AF56+'1b. Incremental Deployment-2023'!AF56+'1c. Incremental Deployment-2024'!AF56+'1d. Incremental Deployment-2025'!AF56</f>
        <v>0</v>
      </c>
      <c r="AG56" s="204" t="s">
        <v>383</v>
      </c>
      <c r="AH56" s="69" t="s">
        <v>383</v>
      </c>
      <c r="AI56" s="69">
        <f>'1a. Incremental Deployment-2022'!AI56+'1b. Incremental Deployment-2023'!AI56+'1c. Incremental Deployment-2024'!AI56+'1d. Incremental Deployment-2025'!AI56</f>
        <v>0</v>
      </c>
      <c r="AJ56" s="69" t="s">
        <v>383</v>
      </c>
    </row>
    <row r="57" spans="1:36" s="123" customFormat="1" ht="30" customHeight="1" x14ac:dyDescent="0.3">
      <c r="A57" s="60" t="str">
        <f t="shared" si="0"/>
        <v>Unitil</v>
      </c>
      <c r="B57" s="66" t="s">
        <v>383</v>
      </c>
      <c r="C57" s="66" t="s">
        <v>383</v>
      </c>
      <c r="D57" s="58" t="s">
        <v>434</v>
      </c>
      <c r="E57" s="58" t="s">
        <v>385</v>
      </c>
      <c r="F57" s="58">
        <v>1309</v>
      </c>
      <c r="G57" s="58" t="s">
        <v>385</v>
      </c>
      <c r="H57" s="10" t="s">
        <v>387</v>
      </c>
      <c r="I57" s="58">
        <f>'1a. Incremental Deployment-2022'!I57+'1b. Incremental Deployment-2023'!I57+'1c. Incremental Deployment-2024'!I57+'1d. Incremental Deployment-2025'!I57</f>
        <v>0</v>
      </c>
      <c r="J57" s="58">
        <f>'1a. Incremental Deployment-2022'!J57+'1b. Incremental Deployment-2023'!J57+'1c. Incremental Deployment-2024'!J57+'1d. Incremental Deployment-2025'!J57</f>
        <v>0</v>
      </c>
      <c r="K57" s="66" t="s">
        <v>383</v>
      </c>
      <c r="L57" s="58" t="s">
        <v>383</v>
      </c>
      <c r="M57" s="58" t="s">
        <v>383</v>
      </c>
      <c r="N57" s="65" t="s">
        <v>383</v>
      </c>
      <c r="O57" s="58" t="s">
        <v>383</v>
      </c>
      <c r="P57" s="58" t="s">
        <v>383</v>
      </c>
      <c r="Q57" s="198" t="s">
        <v>383</v>
      </c>
      <c r="R57" s="65">
        <f>'1a. Incremental Deployment-2022'!R57+'1b. Incremental Deployment-2023'!R57+'1c. Incremental Deployment-2024'!R57+'1d. Incremental Deployment-2025'!R57</f>
        <v>0</v>
      </c>
      <c r="S57" s="58">
        <f>'1a. Incremental Deployment-2022'!S57+'1b. Incremental Deployment-2023'!S57+'1c. Incremental Deployment-2024'!S57+'1d. Incremental Deployment-2025'!S57</f>
        <v>0</v>
      </c>
      <c r="T57" s="58">
        <f>'1a. Incremental Deployment-2022'!T57+'1b. Incremental Deployment-2023'!T57+'1c. Incremental Deployment-2024'!T57+'1d. Incremental Deployment-2025'!T57</f>
        <v>0</v>
      </c>
      <c r="U57" s="203">
        <f>'1a. Incremental Deployment-2022'!U57+'1b. Incremental Deployment-2023'!U57+'1c. Incremental Deployment-2024'!U57+'1d. Incremental Deployment-2025'!U57</f>
        <v>0</v>
      </c>
      <c r="V57" s="65">
        <f>'1a. Incremental Deployment-2022'!V57+'1b. Incremental Deployment-2023'!V57+'1c. Incremental Deployment-2024'!V57+'1d. Incremental Deployment-2025'!V57</f>
        <v>1</v>
      </c>
      <c r="W57" s="65" t="s">
        <v>383</v>
      </c>
      <c r="X57" s="58" t="s">
        <v>383</v>
      </c>
      <c r="Y57" s="58" t="s">
        <v>383</v>
      </c>
      <c r="Z57" s="58" t="s">
        <v>383</v>
      </c>
      <c r="AA57" s="204">
        <f>'1a. Incremental Deployment-2022'!AA57+'1b. Incremental Deployment-2023'!AA57+'1c. Incremental Deployment-2024'!AA57+'1d. Incremental Deployment-2025'!AA57</f>
        <v>0</v>
      </c>
      <c r="AB57" s="69">
        <f>'1a. Incremental Deployment-2022'!AB57+'1b. Incremental Deployment-2023'!AB57+'1c. Incremental Deployment-2024'!AB57+'1d. Incremental Deployment-2025'!AB57</f>
        <v>0</v>
      </c>
      <c r="AC57" s="69" t="s">
        <v>383</v>
      </c>
      <c r="AD57" s="65" t="s">
        <v>383</v>
      </c>
      <c r="AE57" s="198" t="s">
        <v>383</v>
      </c>
      <c r="AF57" s="58">
        <f>'1a. Incremental Deployment-2022'!AF57+'1b. Incremental Deployment-2023'!AF57+'1c. Incremental Deployment-2024'!AF57+'1d. Incremental Deployment-2025'!AF57</f>
        <v>0</v>
      </c>
      <c r="AG57" s="204" t="s">
        <v>383</v>
      </c>
      <c r="AH57" s="69" t="s">
        <v>383</v>
      </c>
      <c r="AI57" s="69">
        <f>'1a. Incremental Deployment-2022'!AI57+'1b. Incremental Deployment-2023'!AI57+'1c. Incremental Deployment-2024'!AI57+'1d. Incremental Deployment-2025'!AI57</f>
        <v>0</v>
      </c>
      <c r="AJ57" s="69" t="s">
        <v>383</v>
      </c>
    </row>
    <row r="58" spans="1:36" s="123" customFormat="1" ht="30" customHeight="1" x14ac:dyDescent="0.3">
      <c r="A58" s="60" t="str">
        <f t="shared" si="0"/>
        <v>Unitil</v>
      </c>
      <c r="B58" s="66" t="s">
        <v>383</v>
      </c>
      <c r="C58" s="66" t="s">
        <v>383</v>
      </c>
      <c r="D58" s="58" t="s">
        <v>434</v>
      </c>
      <c r="E58" s="58" t="s">
        <v>385</v>
      </c>
      <c r="F58" s="496"/>
      <c r="G58" s="496"/>
      <c r="H58" s="497"/>
      <c r="I58" s="58">
        <f>'1a. Incremental Deployment-2022'!I58+'1b. Incremental Deployment-2023'!I58+'1c. Incremental Deployment-2024'!I58+'1d. Incremental Deployment-2025'!I58</f>
        <v>0</v>
      </c>
      <c r="J58" s="58">
        <f>'1a. Incremental Deployment-2022'!J58+'1b. Incremental Deployment-2023'!J58+'1c. Incremental Deployment-2024'!J58+'1d. Incremental Deployment-2025'!J58</f>
        <v>0</v>
      </c>
      <c r="K58" s="58" t="s">
        <v>383</v>
      </c>
      <c r="L58" s="58" t="s">
        <v>383</v>
      </c>
      <c r="M58" s="58" t="s">
        <v>383</v>
      </c>
      <c r="N58" s="65" t="s">
        <v>383</v>
      </c>
      <c r="O58" s="58" t="s">
        <v>383</v>
      </c>
      <c r="P58" s="58" t="s">
        <v>383</v>
      </c>
      <c r="Q58" s="204" t="s">
        <v>383</v>
      </c>
      <c r="R58" s="65">
        <f>'1a. Incremental Deployment-2022'!R58+'1b. Incremental Deployment-2023'!R58+'1c. Incremental Deployment-2024'!R58+'1d. Incremental Deployment-2025'!R58</f>
        <v>0</v>
      </c>
      <c r="S58" s="58">
        <f>'1a. Incremental Deployment-2022'!S58+'1b. Incremental Deployment-2023'!S58+'1c. Incremental Deployment-2024'!S58+'1d. Incremental Deployment-2025'!S58</f>
        <v>2</v>
      </c>
      <c r="T58" s="58">
        <f>'1a. Incremental Deployment-2022'!T58+'1b. Incremental Deployment-2023'!T58+'1c. Incremental Deployment-2024'!T58+'1d. Incremental Deployment-2025'!T58</f>
        <v>0</v>
      </c>
      <c r="U58" s="203">
        <f>'1a. Incremental Deployment-2022'!U58+'1b. Incremental Deployment-2023'!U58+'1c. Incremental Deployment-2024'!U58+'1d. Incremental Deployment-2025'!U58</f>
        <v>0</v>
      </c>
      <c r="V58" s="65">
        <f>'1a. Incremental Deployment-2022'!V58+'1b. Incremental Deployment-2023'!V58+'1c. Incremental Deployment-2024'!V58+'1d. Incremental Deployment-2025'!V58</f>
        <v>0</v>
      </c>
      <c r="W58" s="205" t="s">
        <v>383</v>
      </c>
      <c r="X58" s="633" t="s">
        <v>383</v>
      </c>
      <c r="Y58" s="633" t="s">
        <v>383</v>
      </c>
      <c r="Z58" s="633" t="s">
        <v>383</v>
      </c>
      <c r="AA58" s="208">
        <f>'1a. Incremental Deployment-2022'!AA58+'1b. Incremental Deployment-2023'!AA58+'1c. Incremental Deployment-2024'!AA58+'1d. Incremental Deployment-2025'!AA58</f>
        <v>2</v>
      </c>
      <c r="AB58" s="69">
        <f>'1a. Incremental Deployment-2022'!AB58+'1b. Incremental Deployment-2023'!AB58+'1c. Incremental Deployment-2024'!AB58+'1d. Incremental Deployment-2025'!AB58</f>
        <v>0</v>
      </c>
      <c r="AC58" s="207" t="s">
        <v>383</v>
      </c>
      <c r="AD58" s="205" t="s">
        <v>383</v>
      </c>
      <c r="AE58" s="206" t="s">
        <v>383</v>
      </c>
      <c r="AF58" s="58">
        <f>'1a. Incremental Deployment-2022'!AF58+'1b. Incremental Deployment-2023'!AF58+'1c. Incremental Deployment-2024'!AF58+'1d. Incremental Deployment-2025'!AF58</f>
        <v>0</v>
      </c>
      <c r="AG58" s="204" t="s">
        <v>383</v>
      </c>
      <c r="AH58" s="207" t="s">
        <v>383</v>
      </c>
      <c r="AI58" s="69">
        <f>'1a. Incremental Deployment-2022'!AI58+'1b. Incremental Deployment-2023'!AI58+'1c. Incremental Deployment-2024'!AI58+'1d. Incremental Deployment-2025'!AI58</f>
        <v>0</v>
      </c>
      <c r="AJ58" s="207" t="s">
        <v>383</v>
      </c>
    </row>
    <row r="59" spans="1:36" s="123" customFormat="1" ht="30" customHeight="1" x14ac:dyDescent="0.3">
      <c r="A59" s="60" t="str">
        <f t="shared" si="0"/>
        <v>Unitil</v>
      </c>
      <c r="B59" s="66" t="s">
        <v>383</v>
      </c>
      <c r="C59" s="66" t="s">
        <v>383</v>
      </c>
      <c r="D59" s="58" t="s">
        <v>440</v>
      </c>
      <c r="E59" s="58" t="s">
        <v>385</v>
      </c>
      <c r="F59" s="58" t="s">
        <v>441</v>
      </c>
      <c r="G59" s="58" t="s">
        <v>385</v>
      </c>
      <c r="H59" s="10" t="s">
        <v>387</v>
      </c>
      <c r="I59" s="58">
        <f>'1a. Incremental Deployment-2022'!I59+'1b. Incremental Deployment-2023'!I59+'1c. Incremental Deployment-2024'!I59+'1d. Incremental Deployment-2025'!I59</f>
        <v>1</v>
      </c>
      <c r="J59" s="58">
        <f>'1a. Incremental Deployment-2022'!J59+'1b. Incremental Deployment-2023'!J59+'1c. Incremental Deployment-2024'!J59+'1d. Incremental Deployment-2025'!J59</f>
        <v>0</v>
      </c>
      <c r="K59" s="58" t="s">
        <v>383</v>
      </c>
      <c r="L59" s="58" t="s">
        <v>383</v>
      </c>
      <c r="M59" s="58" t="s">
        <v>383</v>
      </c>
      <c r="N59" s="65" t="s">
        <v>383</v>
      </c>
      <c r="O59" s="58" t="s">
        <v>383</v>
      </c>
      <c r="P59" s="58" t="s">
        <v>383</v>
      </c>
      <c r="Q59" s="204" t="s">
        <v>383</v>
      </c>
      <c r="R59" s="65">
        <f>'1a. Incremental Deployment-2022'!R59+'1b. Incremental Deployment-2023'!R59+'1c. Incremental Deployment-2024'!R59+'1d. Incremental Deployment-2025'!R59</f>
        <v>0</v>
      </c>
      <c r="S59" s="58">
        <f>'1a. Incremental Deployment-2022'!S59+'1b. Incremental Deployment-2023'!S59+'1c. Incremental Deployment-2024'!S59+'1d. Incremental Deployment-2025'!S59</f>
        <v>0</v>
      </c>
      <c r="T59" s="58">
        <f>'1a. Incremental Deployment-2022'!T59+'1b. Incremental Deployment-2023'!T59+'1c. Incremental Deployment-2024'!T59+'1d. Incremental Deployment-2025'!T59</f>
        <v>0</v>
      </c>
      <c r="U59" s="203">
        <f>'1a. Incremental Deployment-2022'!U59+'1b. Incremental Deployment-2023'!U59+'1c. Incremental Deployment-2024'!U59+'1d. Incremental Deployment-2025'!U59</f>
        <v>0</v>
      </c>
      <c r="V59" s="65">
        <f>'1a. Incremental Deployment-2022'!V59+'1b. Incremental Deployment-2023'!V59+'1c. Incremental Deployment-2024'!V59+'1d. Incremental Deployment-2025'!V59</f>
        <v>0</v>
      </c>
      <c r="W59" s="205" t="s">
        <v>383</v>
      </c>
      <c r="X59" s="633" t="s">
        <v>383</v>
      </c>
      <c r="Y59" s="633" t="s">
        <v>383</v>
      </c>
      <c r="Z59" s="633" t="s">
        <v>383</v>
      </c>
      <c r="AA59" s="208">
        <f>'1a. Incremental Deployment-2022'!AA59+'1b. Incremental Deployment-2023'!AA59+'1c. Incremental Deployment-2024'!AA59+'1d. Incremental Deployment-2025'!AA59</f>
        <v>0</v>
      </c>
      <c r="AB59" s="69">
        <f>'1a. Incremental Deployment-2022'!AB59+'1b. Incremental Deployment-2023'!AB59+'1c. Incremental Deployment-2024'!AB59+'1d. Incremental Deployment-2025'!AB59</f>
        <v>0</v>
      </c>
      <c r="AC59" s="207" t="s">
        <v>383</v>
      </c>
      <c r="AD59" s="205" t="s">
        <v>383</v>
      </c>
      <c r="AE59" s="208" t="s">
        <v>383</v>
      </c>
      <c r="AF59" s="58">
        <f>'1a. Incremental Deployment-2022'!AF59+'1b. Incremental Deployment-2023'!AF59+'1c. Incremental Deployment-2024'!AF59+'1d. Incremental Deployment-2025'!AF59</f>
        <v>0</v>
      </c>
      <c r="AG59" s="204" t="s">
        <v>383</v>
      </c>
      <c r="AH59" s="207" t="s">
        <v>383</v>
      </c>
      <c r="AI59" s="69">
        <f>'1a. Incremental Deployment-2022'!AI59+'1b. Incremental Deployment-2023'!AI59+'1c. Incremental Deployment-2024'!AI59+'1d. Incremental Deployment-2025'!AI59</f>
        <v>0</v>
      </c>
      <c r="AJ59" s="207" t="s">
        <v>383</v>
      </c>
    </row>
    <row r="60" spans="1:36" s="123" customFormat="1" ht="30" customHeight="1" x14ac:dyDescent="0.3">
      <c r="A60" s="60" t="str">
        <f t="shared" si="0"/>
        <v>Unitil</v>
      </c>
      <c r="B60" s="66" t="s">
        <v>383</v>
      </c>
      <c r="C60" s="66" t="s">
        <v>383</v>
      </c>
      <c r="D60" s="58" t="s">
        <v>440</v>
      </c>
      <c r="E60" s="58" t="s">
        <v>385</v>
      </c>
      <c r="F60" s="58" t="s">
        <v>442</v>
      </c>
      <c r="G60" s="58" t="s">
        <v>385</v>
      </c>
      <c r="H60" s="10" t="s">
        <v>387</v>
      </c>
      <c r="I60" s="58">
        <f>'1a. Incremental Deployment-2022'!I60+'1b. Incremental Deployment-2023'!I60+'1c. Incremental Deployment-2024'!I60+'1d. Incremental Deployment-2025'!I60</f>
        <v>0</v>
      </c>
      <c r="J60" s="58">
        <f>'1a. Incremental Deployment-2022'!J60+'1b. Incremental Deployment-2023'!J60+'1c. Incremental Deployment-2024'!J60+'1d. Incremental Deployment-2025'!J60</f>
        <v>0</v>
      </c>
      <c r="K60" s="58" t="s">
        <v>383</v>
      </c>
      <c r="L60" s="58" t="s">
        <v>383</v>
      </c>
      <c r="M60" s="58" t="s">
        <v>383</v>
      </c>
      <c r="N60" s="65" t="s">
        <v>383</v>
      </c>
      <c r="O60" s="58" t="s">
        <v>383</v>
      </c>
      <c r="P60" s="58" t="s">
        <v>383</v>
      </c>
      <c r="Q60" s="204" t="s">
        <v>383</v>
      </c>
      <c r="R60" s="65">
        <f>'1a. Incremental Deployment-2022'!R60+'1b. Incremental Deployment-2023'!R60+'1c. Incremental Deployment-2024'!R60+'1d. Incremental Deployment-2025'!R60</f>
        <v>0</v>
      </c>
      <c r="S60" s="58">
        <f>'1a. Incremental Deployment-2022'!S60+'1b. Incremental Deployment-2023'!S60+'1c. Incremental Deployment-2024'!S60+'1d. Incremental Deployment-2025'!S60</f>
        <v>0</v>
      </c>
      <c r="T60" s="58">
        <f>'1a. Incremental Deployment-2022'!T60+'1b. Incremental Deployment-2023'!T60+'1c. Incremental Deployment-2024'!T60+'1d. Incremental Deployment-2025'!T60</f>
        <v>0</v>
      </c>
      <c r="U60" s="203">
        <f>'1a. Incremental Deployment-2022'!U60+'1b. Incremental Deployment-2023'!U60+'1c. Incremental Deployment-2024'!U60+'1d. Incremental Deployment-2025'!U60</f>
        <v>0</v>
      </c>
      <c r="V60" s="65">
        <f>'1a. Incremental Deployment-2022'!V60+'1b. Incremental Deployment-2023'!V60+'1c. Incremental Deployment-2024'!V60+'1d. Incremental Deployment-2025'!V60</f>
        <v>0</v>
      </c>
      <c r="W60" s="205" t="s">
        <v>383</v>
      </c>
      <c r="X60" s="633" t="s">
        <v>383</v>
      </c>
      <c r="Y60" s="633" t="s">
        <v>383</v>
      </c>
      <c r="Z60" s="633" t="s">
        <v>383</v>
      </c>
      <c r="AA60" s="208">
        <f>'1a. Incremental Deployment-2022'!AA60+'1b. Incremental Deployment-2023'!AA60+'1c. Incremental Deployment-2024'!AA60+'1d. Incremental Deployment-2025'!AA60</f>
        <v>0</v>
      </c>
      <c r="AB60" s="69">
        <f>'1a. Incremental Deployment-2022'!AB60+'1b. Incremental Deployment-2023'!AB60+'1c. Incremental Deployment-2024'!AB60+'1d. Incremental Deployment-2025'!AB60</f>
        <v>0</v>
      </c>
      <c r="AC60" s="207" t="s">
        <v>383</v>
      </c>
      <c r="AD60" s="205" t="s">
        <v>383</v>
      </c>
      <c r="AE60" s="208" t="s">
        <v>383</v>
      </c>
      <c r="AF60" s="58">
        <f>'1a. Incremental Deployment-2022'!AF60+'1b. Incremental Deployment-2023'!AF60+'1c. Incremental Deployment-2024'!AF60+'1d. Incremental Deployment-2025'!AF60</f>
        <v>0</v>
      </c>
      <c r="AG60" s="204" t="s">
        <v>383</v>
      </c>
      <c r="AH60" s="207" t="s">
        <v>383</v>
      </c>
      <c r="AI60" s="69">
        <f>'1a. Incremental Deployment-2022'!AI60+'1b. Incremental Deployment-2023'!AI60+'1c. Incremental Deployment-2024'!AI60+'1d. Incremental Deployment-2025'!AI60</f>
        <v>0</v>
      </c>
      <c r="AJ60" s="207" t="s">
        <v>383</v>
      </c>
    </row>
    <row r="61" spans="1:36" s="123" customFormat="1" ht="30" customHeight="1" x14ac:dyDescent="0.3">
      <c r="A61" s="60" t="str">
        <f t="shared" si="0"/>
        <v>Unitil</v>
      </c>
      <c r="B61" s="66" t="s">
        <v>383</v>
      </c>
      <c r="C61" s="66" t="s">
        <v>383</v>
      </c>
      <c r="D61" s="58" t="s">
        <v>440</v>
      </c>
      <c r="E61" s="58" t="s">
        <v>385</v>
      </c>
      <c r="F61" s="58" t="s">
        <v>443</v>
      </c>
      <c r="G61" s="58" t="s">
        <v>385</v>
      </c>
      <c r="H61" s="10" t="s">
        <v>387</v>
      </c>
      <c r="I61" s="58">
        <f>'1a. Incremental Deployment-2022'!I61+'1b. Incremental Deployment-2023'!I61+'1c. Incremental Deployment-2024'!I61+'1d. Incremental Deployment-2025'!I61</f>
        <v>0</v>
      </c>
      <c r="J61" s="58">
        <f>'1a. Incremental Deployment-2022'!J61+'1b. Incremental Deployment-2023'!J61+'1c. Incremental Deployment-2024'!J61+'1d. Incremental Deployment-2025'!J61</f>
        <v>0</v>
      </c>
      <c r="K61" s="58" t="s">
        <v>383</v>
      </c>
      <c r="L61" s="58" t="s">
        <v>383</v>
      </c>
      <c r="M61" s="58" t="s">
        <v>383</v>
      </c>
      <c r="N61" s="65" t="s">
        <v>383</v>
      </c>
      <c r="O61" s="58" t="s">
        <v>383</v>
      </c>
      <c r="P61" s="58" t="s">
        <v>383</v>
      </c>
      <c r="Q61" s="204" t="s">
        <v>383</v>
      </c>
      <c r="R61" s="65">
        <f>'1a. Incremental Deployment-2022'!R61+'1b. Incremental Deployment-2023'!R61+'1c. Incremental Deployment-2024'!R61+'1d. Incremental Deployment-2025'!R61</f>
        <v>0</v>
      </c>
      <c r="S61" s="58">
        <f>'1a. Incremental Deployment-2022'!S61+'1b. Incremental Deployment-2023'!S61+'1c. Incremental Deployment-2024'!S61+'1d. Incremental Deployment-2025'!S61</f>
        <v>0</v>
      </c>
      <c r="T61" s="58">
        <f>'1a. Incremental Deployment-2022'!T61+'1b. Incremental Deployment-2023'!T61+'1c. Incremental Deployment-2024'!T61+'1d. Incremental Deployment-2025'!T61</f>
        <v>0</v>
      </c>
      <c r="U61" s="203">
        <f>'1a. Incremental Deployment-2022'!U61+'1b. Incremental Deployment-2023'!U61+'1c. Incremental Deployment-2024'!U61+'1d. Incremental Deployment-2025'!U61</f>
        <v>0</v>
      </c>
      <c r="V61" s="65">
        <f>'1a. Incremental Deployment-2022'!V61+'1b. Incremental Deployment-2023'!V61+'1c. Incremental Deployment-2024'!V61+'1d. Incremental Deployment-2025'!V61</f>
        <v>0</v>
      </c>
      <c r="W61" s="205" t="s">
        <v>383</v>
      </c>
      <c r="X61" s="633" t="s">
        <v>383</v>
      </c>
      <c r="Y61" s="633" t="s">
        <v>383</v>
      </c>
      <c r="Z61" s="633" t="s">
        <v>383</v>
      </c>
      <c r="AA61" s="208">
        <f>'1a. Incremental Deployment-2022'!AA61+'1b. Incremental Deployment-2023'!AA61+'1c. Incremental Deployment-2024'!AA61+'1d. Incremental Deployment-2025'!AA61</f>
        <v>0</v>
      </c>
      <c r="AB61" s="69">
        <f>'1a. Incremental Deployment-2022'!AB61+'1b. Incremental Deployment-2023'!AB61+'1c. Incremental Deployment-2024'!AB61+'1d. Incremental Deployment-2025'!AB61</f>
        <v>0</v>
      </c>
      <c r="AC61" s="207" t="s">
        <v>383</v>
      </c>
      <c r="AD61" s="205" t="s">
        <v>383</v>
      </c>
      <c r="AE61" s="208" t="s">
        <v>383</v>
      </c>
      <c r="AF61" s="58">
        <f>'1a. Incremental Deployment-2022'!AF61+'1b. Incremental Deployment-2023'!AF61+'1c. Incremental Deployment-2024'!AF61+'1d. Incremental Deployment-2025'!AF61</f>
        <v>0</v>
      </c>
      <c r="AG61" s="204" t="s">
        <v>383</v>
      </c>
      <c r="AH61" s="207" t="s">
        <v>383</v>
      </c>
      <c r="AI61" s="69">
        <f>'1a. Incremental Deployment-2022'!AI61+'1b. Incremental Deployment-2023'!AI61+'1c. Incremental Deployment-2024'!AI61+'1d. Incremental Deployment-2025'!AI61</f>
        <v>0</v>
      </c>
      <c r="AJ61" s="207" t="s">
        <v>383</v>
      </c>
    </row>
    <row r="62" spans="1:36" s="123" customFormat="1" ht="30" customHeight="1" x14ac:dyDescent="0.3">
      <c r="A62" s="60" t="str">
        <f t="shared" si="0"/>
        <v>Unitil</v>
      </c>
      <c r="B62" s="66" t="s">
        <v>383</v>
      </c>
      <c r="C62" s="66" t="s">
        <v>383</v>
      </c>
      <c r="D62" s="58" t="s">
        <v>440</v>
      </c>
      <c r="E62" s="58" t="s">
        <v>385</v>
      </c>
      <c r="F62" s="58" t="s">
        <v>444</v>
      </c>
      <c r="G62" s="58" t="s">
        <v>385</v>
      </c>
      <c r="H62" s="10" t="s">
        <v>387</v>
      </c>
      <c r="I62" s="58">
        <f>'1a. Incremental Deployment-2022'!I62+'1b. Incremental Deployment-2023'!I62+'1c. Incremental Deployment-2024'!I62+'1d. Incremental Deployment-2025'!I62</f>
        <v>1</v>
      </c>
      <c r="J62" s="58">
        <f>'1a. Incremental Deployment-2022'!J62+'1b. Incremental Deployment-2023'!J62+'1c. Incremental Deployment-2024'!J62+'1d. Incremental Deployment-2025'!J62</f>
        <v>0</v>
      </c>
      <c r="K62" s="58" t="s">
        <v>383</v>
      </c>
      <c r="L62" s="58" t="s">
        <v>383</v>
      </c>
      <c r="M62" s="58" t="s">
        <v>383</v>
      </c>
      <c r="N62" s="65" t="s">
        <v>383</v>
      </c>
      <c r="O62" s="58" t="s">
        <v>383</v>
      </c>
      <c r="P62" s="58" t="s">
        <v>383</v>
      </c>
      <c r="Q62" s="204" t="s">
        <v>383</v>
      </c>
      <c r="R62" s="65">
        <f>'1a. Incremental Deployment-2022'!R62+'1b. Incremental Deployment-2023'!R62+'1c. Incremental Deployment-2024'!R62+'1d. Incremental Deployment-2025'!R62</f>
        <v>0</v>
      </c>
      <c r="S62" s="58">
        <f>'1a. Incremental Deployment-2022'!S62+'1b. Incremental Deployment-2023'!S62+'1c. Incremental Deployment-2024'!S62+'1d. Incremental Deployment-2025'!S62</f>
        <v>0</v>
      </c>
      <c r="T62" s="58">
        <f>'1a. Incremental Deployment-2022'!T62+'1b. Incremental Deployment-2023'!T62+'1c. Incremental Deployment-2024'!T62+'1d. Incremental Deployment-2025'!T62</f>
        <v>0</v>
      </c>
      <c r="U62" s="203">
        <f>'1a. Incremental Deployment-2022'!U62+'1b. Incremental Deployment-2023'!U62+'1c. Incremental Deployment-2024'!U62+'1d. Incremental Deployment-2025'!U62</f>
        <v>0</v>
      </c>
      <c r="V62" s="65">
        <f>'1a. Incremental Deployment-2022'!V62+'1b. Incremental Deployment-2023'!V62+'1c. Incremental Deployment-2024'!V62+'1d. Incremental Deployment-2025'!V62</f>
        <v>0</v>
      </c>
      <c r="W62" s="205" t="s">
        <v>383</v>
      </c>
      <c r="X62" s="633" t="s">
        <v>383</v>
      </c>
      <c r="Y62" s="633" t="s">
        <v>383</v>
      </c>
      <c r="Z62" s="633" t="s">
        <v>383</v>
      </c>
      <c r="AA62" s="208">
        <f>'1a. Incremental Deployment-2022'!AA62+'1b. Incremental Deployment-2023'!AA62+'1c. Incremental Deployment-2024'!AA62+'1d. Incremental Deployment-2025'!AA62</f>
        <v>0</v>
      </c>
      <c r="AB62" s="69">
        <f>'1a. Incremental Deployment-2022'!AB62+'1b. Incremental Deployment-2023'!AB62+'1c. Incremental Deployment-2024'!AB62+'1d. Incremental Deployment-2025'!AB62</f>
        <v>0</v>
      </c>
      <c r="AC62" s="207" t="s">
        <v>383</v>
      </c>
      <c r="AD62" s="205" t="s">
        <v>383</v>
      </c>
      <c r="AE62" s="208" t="s">
        <v>383</v>
      </c>
      <c r="AF62" s="58">
        <f>'1a. Incremental Deployment-2022'!AF62+'1b. Incremental Deployment-2023'!AF62+'1c. Incremental Deployment-2024'!AF62+'1d. Incremental Deployment-2025'!AF62</f>
        <v>0</v>
      </c>
      <c r="AG62" s="204" t="s">
        <v>383</v>
      </c>
      <c r="AH62" s="207" t="s">
        <v>383</v>
      </c>
      <c r="AI62" s="69">
        <f>'1a. Incremental Deployment-2022'!AI62+'1b. Incremental Deployment-2023'!AI62+'1c. Incremental Deployment-2024'!AI62+'1d. Incremental Deployment-2025'!AI62</f>
        <v>0</v>
      </c>
      <c r="AJ62" s="207" t="s">
        <v>383</v>
      </c>
    </row>
    <row r="63" spans="1:36" s="123" customFormat="1" ht="30" customHeight="1" x14ac:dyDescent="0.3">
      <c r="A63" s="60" t="str">
        <f t="shared" si="0"/>
        <v>Unitil</v>
      </c>
      <c r="B63" s="66" t="s">
        <v>383</v>
      </c>
      <c r="C63" s="66" t="s">
        <v>383</v>
      </c>
      <c r="D63" s="58" t="s">
        <v>440</v>
      </c>
      <c r="E63" s="58" t="s">
        <v>385</v>
      </c>
      <c r="F63" s="58" t="s">
        <v>445</v>
      </c>
      <c r="G63" s="58" t="s">
        <v>385</v>
      </c>
      <c r="H63" s="196" t="s">
        <v>387</v>
      </c>
      <c r="I63" s="58">
        <f>'1a. Incremental Deployment-2022'!I63+'1b. Incremental Deployment-2023'!I63+'1c. Incremental Deployment-2024'!I63+'1d. Incremental Deployment-2025'!I63</f>
        <v>1</v>
      </c>
      <c r="J63" s="58">
        <f>'1a. Incremental Deployment-2022'!J63+'1b. Incremental Deployment-2023'!J63+'1c. Incremental Deployment-2024'!J63+'1d. Incremental Deployment-2025'!J63</f>
        <v>0</v>
      </c>
      <c r="K63" s="58" t="s">
        <v>383</v>
      </c>
      <c r="L63" s="58" t="s">
        <v>383</v>
      </c>
      <c r="M63" s="58" t="s">
        <v>383</v>
      </c>
      <c r="N63" s="65" t="s">
        <v>383</v>
      </c>
      <c r="O63" s="58" t="s">
        <v>383</v>
      </c>
      <c r="P63" s="58" t="s">
        <v>383</v>
      </c>
      <c r="Q63" s="204" t="s">
        <v>383</v>
      </c>
      <c r="R63" s="65">
        <f>'1a. Incremental Deployment-2022'!R63+'1b. Incremental Deployment-2023'!R63+'1c. Incremental Deployment-2024'!R63+'1d. Incremental Deployment-2025'!R63</f>
        <v>0</v>
      </c>
      <c r="S63" s="58">
        <f>'1a. Incremental Deployment-2022'!S63+'1b. Incremental Deployment-2023'!S63+'1c. Incremental Deployment-2024'!S63+'1d. Incremental Deployment-2025'!S63</f>
        <v>0</v>
      </c>
      <c r="T63" s="58">
        <f>'1a. Incremental Deployment-2022'!T63+'1b. Incremental Deployment-2023'!T63+'1c. Incremental Deployment-2024'!T63+'1d. Incremental Deployment-2025'!T63</f>
        <v>0</v>
      </c>
      <c r="U63" s="203">
        <f>'1a. Incremental Deployment-2022'!U63+'1b. Incremental Deployment-2023'!U63+'1c. Incremental Deployment-2024'!U63+'1d. Incremental Deployment-2025'!U63</f>
        <v>0</v>
      </c>
      <c r="V63" s="65">
        <f>'1a. Incremental Deployment-2022'!V63+'1b. Incremental Deployment-2023'!V63+'1c. Incremental Deployment-2024'!V63+'1d. Incremental Deployment-2025'!V63</f>
        <v>0</v>
      </c>
      <c r="W63" s="205" t="s">
        <v>383</v>
      </c>
      <c r="X63" s="633" t="s">
        <v>383</v>
      </c>
      <c r="Y63" s="633" t="s">
        <v>383</v>
      </c>
      <c r="Z63" s="633" t="s">
        <v>383</v>
      </c>
      <c r="AA63" s="208">
        <f>'1a. Incremental Deployment-2022'!AA63+'1b. Incremental Deployment-2023'!AA63+'1c. Incremental Deployment-2024'!AA63+'1d. Incremental Deployment-2025'!AA63</f>
        <v>0</v>
      </c>
      <c r="AB63" s="69">
        <f>'1a. Incremental Deployment-2022'!AB63+'1b. Incremental Deployment-2023'!AB63+'1c. Incremental Deployment-2024'!AB63+'1d. Incremental Deployment-2025'!AB63</f>
        <v>0</v>
      </c>
      <c r="AC63" s="207" t="s">
        <v>383</v>
      </c>
      <c r="AD63" s="205" t="s">
        <v>383</v>
      </c>
      <c r="AE63" s="208" t="s">
        <v>383</v>
      </c>
      <c r="AF63" s="58">
        <f>'1a. Incremental Deployment-2022'!AF63+'1b. Incremental Deployment-2023'!AF63+'1c. Incremental Deployment-2024'!AF63+'1d. Incremental Deployment-2025'!AF63</f>
        <v>0</v>
      </c>
      <c r="AG63" s="204" t="s">
        <v>383</v>
      </c>
      <c r="AH63" s="207" t="s">
        <v>383</v>
      </c>
      <c r="AI63" s="69">
        <f>'1a. Incremental Deployment-2022'!AI63+'1b. Incremental Deployment-2023'!AI63+'1c. Incremental Deployment-2024'!AI63+'1d. Incremental Deployment-2025'!AI63</f>
        <v>0</v>
      </c>
      <c r="AJ63" s="207" t="s">
        <v>383</v>
      </c>
    </row>
    <row r="64" spans="1:36" s="123" customFormat="1" ht="30" customHeight="1" thickBot="1" x14ac:dyDescent="0.35">
      <c r="A64" s="60" t="str">
        <f t="shared" si="0"/>
        <v>Unitil</v>
      </c>
      <c r="B64" s="66" t="s">
        <v>383</v>
      </c>
      <c r="C64" s="66" t="s">
        <v>383</v>
      </c>
      <c r="D64" s="58" t="s">
        <v>440</v>
      </c>
      <c r="E64" s="58" t="s">
        <v>385</v>
      </c>
      <c r="F64" s="496"/>
      <c r="G64" s="496"/>
      <c r="H64" s="508"/>
      <c r="I64" s="212">
        <f>'1a. Incremental Deployment-2022'!I64+'1b. Incremental Deployment-2023'!I64+'1c. Incremental Deployment-2024'!I64+'1d. Incremental Deployment-2025'!I64</f>
        <v>4</v>
      </c>
      <c r="J64" s="58">
        <f>'1a. Incremental Deployment-2022'!J64+'1b. Incremental Deployment-2023'!J64+'1c. Incremental Deployment-2024'!J64+'1d. Incremental Deployment-2025'!J64</f>
        <v>0</v>
      </c>
      <c r="K64" s="212" t="s">
        <v>383</v>
      </c>
      <c r="L64" s="212" t="s">
        <v>383</v>
      </c>
      <c r="M64" s="212" t="s">
        <v>383</v>
      </c>
      <c r="N64" s="211" t="s">
        <v>383</v>
      </c>
      <c r="O64" s="212" t="s">
        <v>383</v>
      </c>
      <c r="P64" s="212" t="s">
        <v>383</v>
      </c>
      <c r="Q64" s="213" t="s">
        <v>383</v>
      </c>
      <c r="R64" s="604">
        <f>'1a. Incremental Deployment-2022'!R64+'1b. Incremental Deployment-2023'!R64+'1c. Incremental Deployment-2024'!R64+'1d. Incremental Deployment-2025'!R64</f>
        <v>0</v>
      </c>
      <c r="S64" s="209">
        <f>'1a. Incremental Deployment-2022'!S64+'1b. Incremental Deployment-2023'!S64+'1c. Incremental Deployment-2024'!S64+'1d. Incremental Deployment-2025'!S64</f>
        <v>0</v>
      </c>
      <c r="T64" s="209">
        <f>'1a. Incremental Deployment-2022'!T64+'1b. Incremental Deployment-2023'!T64+'1c. Incremental Deployment-2024'!T64+'1d. Incremental Deployment-2025'!T64</f>
        <v>0</v>
      </c>
      <c r="U64" s="210">
        <f>'1a. Incremental Deployment-2022'!U64+'1b. Incremental Deployment-2023'!U64+'1c. Incremental Deployment-2024'!U64+'1d. Incremental Deployment-2025'!U64</f>
        <v>0</v>
      </c>
      <c r="V64" s="604">
        <f>'1a. Incremental Deployment-2022'!V64+'1b. Incremental Deployment-2023'!V64+'1c. Incremental Deployment-2024'!V64+'1d. Incremental Deployment-2025'!V64</f>
        <v>0</v>
      </c>
      <c r="W64" s="634" t="s">
        <v>383</v>
      </c>
      <c r="X64" s="635" t="s">
        <v>383</v>
      </c>
      <c r="Y64" s="635" t="s">
        <v>383</v>
      </c>
      <c r="Z64" s="635" t="s">
        <v>383</v>
      </c>
      <c r="AA64" s="636">
        <f>'1a. Incremental Deployment-2022'!AA64+'1b. Incremental Deployment-2023'!AA64+'1c. Incremental Deployment-2024'!AA64+'1d. Incremental Deployment-2025'!AA64</f>
        <v>0</v>
      </c>
      <c r="AB64" s="69">
        <f>'1a. Incremental Deployment-2022'!AB64+'1b. Incremental Deployment-2023'!AB64+'1c. Incremental Deployment-2024'!AB64+'1d. Incremental Deployment-2025'!AB64</f>
        <v>0</v>
      </c>
      <c r="AC64" s="216" t="s">
        <v>383</v>
      </c>
      <c r="AD64" s="214" t="s">
        <v>383</v>
      </c>
      <c r="AE64" s="215" t="s">
        <v>383</v>
      </c>
      <c r="AF64" s="209">
        <f>'1a. Incremental Deployment-2022'!AF64+'1b. Incremental Deployment-2023'!AF64+'1c. Incremental Deployment-2024'!AF64+'1d. Incremental Deployment-2025'!AF64</f>
        <v>0</v>
      </c>
      <c r="AG64" s="605" t="s">
        <v>383</v>
      </c>
      <c r="AH64" s="216" t="s">
        <v>383</v>
      </c>
      <c r="AI64" s="509">
        <f>'1a. Incremental Deployment-2022'!AI64+'1b. Incremental Deployment-2023'!AI64+'1c. Incremental Deployment-2024'!AI64+'1d. Incremental Deployment-2025'!AI64</f>
        <v>0</v>
      </c>
      <c r="AJ64" s="216" t="s">
        <v>383</v>
      </c>
    </row>
    <row r="65" spans="1:36" s="123" customFormat="1" ht="15" thickBot="1" x14ac:dyDescent="0.35">
      <c r="A65" s="236" t="s">
        <v>31</v>
      </c>
      <c r="B65" s="871"/>
      <c r="C65" s="872"/>
      <c r="D65" s="872"/>
      <c r="E65" s="872"/>
      <c r="F65" s="872"/>
      <c r="G65" s="872"/>
      <c r="H65" s="873"/>
      <c r="I65" s="200">
        <f>SUM(I8:I64)</f>
        <v>13</v>
      </c>
      <c r="J65" s="200">
        <f t="shared" ref="J65:AI65" si="1">SUM(J8:J64)</f>
        <v>0</v>
      </c>
      <c r="K65" s="200">
        <f>SUM(K8:K64)</f>
        <v>0</v>
      </c>
      <c r="L65" s="200">
        <f t="shared" ref="L65" si="2">SUM(L8:L64)</f>
        <v>0</v>
      </c>
      <c r="M65" s="200">
        <f t="shared" si="1"/>
        <v>0</v>
      </c>
      <c r="N65" s="199">
        <f t="shared" si="1"/>
        <v>0</v>
      </c>
      <c r="O65" s="200">
        <f t="shared" si="1"/>
        <v>0</v>
      </c>
      <c r="P65" s="200">
        <f t="shared" si="1"/>
        <v>0</v>
      </c>
      <c r="Q65" s="201">
        <f t="shared" si="1"/>
        <v>0</v>
      </c>
      <c r="R65" s="199">
        <f t="shared" si="1"/>
        <v>31</v>
      </c>
      <c r="S65" s="200">
        <f t="shared" si="1"/>
        <v>11</v>
      </c>
      <c r="T65" s="200">
        <f t="shared" si="1"/>
        <v>1</v>
      </c>
      <c r="U65" s="200">
        <f t="shared" si="1"/>
        <v>52</v>
      </c>
      <c r="V65" s="200">
        <f t="shared" si="1"/>
        <v>10</v>
      </c>
      <c r="W65" s="199">
        <f t="shared" si="1"/>
        <v>0</v>
      </c>
      <c r="X65" s="632"/>
      <c r="Y65" s="632"/>
      <c r="Z65" s="632"/>
      <c r="AA65" s="201">
        <f t="shared" si="1"/>
        <v>32</v>
      </c>
      <c r="AB65" s="202">
        <f t="shared" si="1"/>
        <v>0</v>
      </c>
      <c r="AC65" s="202">
        <f t="shared" si="1"/>
        <v>0</v>
      </c>
      <c r="AD65" s="199">
        <f t="shared" si="1"/>
        <v>0</v>
      </c>
      <c r="AE65" s="201">
        <f t="shared" si="1"/>
        <v>0</v>
      </c>
      <c r="AF65" s="200">
        <f t="shared" si="1"/>
        <v>0</v>
      </c>
      <c r="AG65" s="200">
        <f t="shared" si="1"/>
        <v>0</v>
      </c>
      <c r="AH65" s="202">
        <f t="shared" si="1"/>
        <v>0</v>
      </c>
      <c r="AI65" s="202">
        <f t="shared" si="1"/>
        <v>0</v>
      </c>
      <c r="AJ65" s="202">
        <f>SUM(AJ8:AJ64)</f>
        <v>0</v>
      </c>
    </row>
    <row r="67" spans="1:36" x14ac:dyDescent="0.3">
      <c r="A67" s="38" t="s">
        <v>32</v>
      </c>
      <c r="C67" s="62"/>
      <c r="D67" s="124"/>
      <c r="E67" s="124"/>
      <c r="F67" s="124"/>
      <c r="G67" s="124"/>
      <c r="H67" s="124"/>
    </row>
    <row r="68" spans="1:36" s="123" customFormat="1" x14ac:dyDescent="0.3">
      <c r="A68" s="194" t="s">
        <v>33</v>
      </c>
      <c r="B68" s="152"/>
      <c r="C68" s="217"/>
      <c r="D68" s="146"/>
      <c r="E68" s="146"/>
      <c r="F68" s="146"/>
      <c r="G68" s="146"/>
      <c r="H68" s="146"/>
      <c r="I68" s="153"/>
      <c r="J68" s="218"/>
      <c r="K68" s="218"/>
      <c r="L68" s="218"/>
      <c r="M68" s="218"/>
      <c r="N68" s="193"/>
      <c r="O68" s="193"/>
    </row>
    <row r="69" spans="1:36" ht="15" customHeight="1" x14ac:dyDescent="0.3">
      <c r="A69" s="164" t="s">
        <v>34</v>
      </c>
      <c r="B69" s="341"/>
      <c r="C69" s="160"/>
      <c r="D69" s="160"/>
      <c r="E69" s="160"/>
      <c r="F69" s="160"/>
      <c r="G69" s="160"/>
      <c r="H69" s="160"/>
      <c r="I69" s="186"/>
      <c r="J69" s="170"/>
      <c r="K69" s="170"/>
      <c r="L69" s="170"/>
      <c r="M69" s="170"/>
      <c r="N69" s="99"/>
      <c r="O69" s="99"/>
      <c r="P69" s="6"/>
      <c r="Q69" s="6"/>
    </row>
    <row r="70" spans="1:36" ht="15" customHeight="1" x14ac:dyDescent="0.3">
      <c r="A70" s="164" t="s">
        <v>35</v>
      </c>
      <c r="B70" s="341"/>
      <c r="C70" s="160"/>
      <c r="D70" s="160"/>
      <c r="E70" s="160"/>
      <c r="F70" s="160"/>
      <c r="G70" s="160"/>
      <c r="H70" s="160"/>
      <c r="I70" s="186"/>
      <c r="J70" s="170"/>
      <c r="K70" s="170"/>
      <c r="L70" s="170"/>
      <c r="M70" s="170"/>
      <c r="N70" s="99"/>
      <c r="O70" s="99"/>
      <c r="P70" s="6"/>
      <c r="Q70" s="6"/>
    </row>
    <row r="71" spans="1:36" ht="15" customHeight="1" x14ac:dyDescent="0.3">
      <c r="A71" s="164" t="s">
        <v>36</v>
      </c>
      <c r="B71" s="341"/>
      <c r="C71" s="160"/>
      <c r="D71" s="160"/>
      <c r="E71" s="160"/>
      <c r="F71" s="160"/>
      <c r="G71" s="160"/>
      <c r="H71" s="160"/>
      <c r="I71" s="186"/>
      <c r="J71" s="170"/>
      <c r="K71" s="170"/>
      <c r="L71" s="170"/>
      <c r="M71" s="170"/>
      <c r="N71" s="99"/>
      <c r="O71" s="99"/>
      <c r="P71" s="6"/>
      <c r="Q71" s="6"/>
    </row>
    <row r="72" spans="1:36" ht="15" customHeight="1" x14ac:dyDescent="0.3">
      <c r="A72" s="167" t="s">
        <v>37</v>
      </c>
      <c r="B72" s="342"/>
      <c r="C72" s="171"/>
      <c r="D72" s="171"/>
      <c r="E72" s="171"/>
      <c r="F72" s="171"/>
      <c r="G72" s="171"/>
      <c r="H72" s="171"/>
      <c r="I72" s="189"/>
      <c r="J72" s="170"/>
      <c r="K72" s="170"/>
      <c r="L72" s="170"/>
      <c r="M72" s="170"/>
      <c r="N72" s="71"/>
      <c r="O72" s="71"/>
    </row>
  </sheetData>
  <mergeCells count="8">
    <mergeCell ref="W6:AA6"/>
    <mergeCell ref="AD6:AE6"/>
    <mergeCell ref="AF6:AG6"/>
    <mergeCell ref="B65:H65"/>
    <mergeCell ref="A6:H6"/>
    <mergeCell ref="I6:M6"/>
    <mergeCell ref="N6:Q6"/>
    <mergeCell ref="R6:U6"/>
  </mergeCells>
  <printOptions headings="1" gridLines="1"/>
  <pageMargins left="0.7" right="0.7" top="0.75" bottom="0.75" header="0.3" footer="0.3"/>
  <pageSetup scale="28"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pageSetUpPr fitToPage="1"/>
  </sheetPr>
  <dimension ref="A1:CV98"/>
  <sheetViews>
    <sheetView topLeftCell="F11" zoomScale="75" zoomScaleNormal="75" workbookViewId="0">
      <pane xSplit="1" ySplit="4" topLeftCell="AZ33" activePane="bottomRight" state="frozen"/>
      <selection activeCell="S57" sqref="S57"/>
      <selection pane="topRight" activeCell="S57" sqref="S57"/>
      <selection pane="bottomLeft" activeCell="S57" sqref="S57"/>
      <selection pane="bottomRight" activeCell="S57" sqref="S57"/>
    </sheetView>
  </sheetViews>
  <sheetFormatPr defaultColWidth="8.88671875" defaultRowHeight="14.4" x14ac:dyDescent="0.3"/>
  <cols>
    <col min="1" max="1" width="23.33203125" style="123" customWidth="1"/>
    <col min="2" max="4" width="15.6640625" style="123" customWidth="1"/>
    <col min="5" max="6" width="22" style="123" bestFit="1" customWidth="1"/>
    <col min="7" max="7" width="15.6640625" style="123" customWidth="1"/>
    <col min="8" max="8" width="18.88671875" style="123" customWidth="1"/>
    <col min="9" max="9" width="14.6640625" style="123" customWidth="1"/>
    <col min="10" max="13" width="12.6640625" style="123" customWidth="1"/>
    <col min="14" max="14" width="14.44140625" style="123" customWidth="1"/>
    <col min="15" max="15" width="15.5546875" style="123" customWidth="1"/>
    <col min="16" max="16" width="14.109375" style="123" customWidth="1"/>
    <col min="17" max="17" width="18.33203125" style="123" customWidth="1"/>
    <col min="18" max="18" width="16" style="123" bestFit="1" customWidth="1"/>
    <col min="19" max="24" width="18.44140625" style="123" bestFit="1" customWidth="1"/>
    <col min="25" max="26" width="18.33203125" style="123" bestFit="1" customWidth="1"/>
    <col min="27" max="34" width="20.33203125" style="123" bestFit="1" customWidth="1"/>
    <col min="35" max="35" width="18.88671875" style="123" bestFit="1" customWidth="1"/>
    <col min="36" max="36" width="18.44140625" style="123" bestFit="1" customWidth="1"/>
    <col min="37" max="37" width="20" style="123" bestFit="1" customWidth="1"/>
    <col min="38" max="38" width="18.44140625" style="123" bestFit="1" customWidth="1"/>
    <col min="39" max="39" width="20" style="123" bestFit="1" customWidth="1"/>
    <col min="40" max="40" width="18.44140625" style="123" bestFit="1" customWidth="1"/>
    <col min="41" max="41" width="20" style="123" bestFit="1" customWidth="1"/>
    <col min="42" max="43" width="21.88671875" style="123" bestFit="1" customWidth="1"/>
    <col min="44" max="44" width="17.44140625" style="123" bestFit="1" customWidth="1"/>
    <col min="45" max="45" width="17.6640625" style="123" bestFit="1" customWidth="1"/>
    <col min="46" max="46" width="14.109375" style="123" bestFit="1" customWidth="1"/>
    <col min="47" max="47" width="19.33203125" style="123" bestFit="1" customWidth="1"/>
    <col min="48" max="48" width="15.6640625" style="123" bestFit="1" customWidth="1"/>
    <col min="49" max="49" width="17.6640625" style="123" bestFit="1" customWidth="1"/>
    <col min="50" max="50" width="19" style="123" bestFit="1" customWidth="1"/>
    <col min="51" max="51" width="20" style="123" bestFit="1" customWidth="1"/>
    <col min="52" max="52" width="16.33203125" style="81" customWidth="1"/>
    <col min="53" max="54" width="13.6640625" style="123" bestFit="1" customWidth="1"/>
    <col min="55" max="55" width="15.109375" style="123" bestFit="1" customWidth="1"/>
    <col min="56" max="56" width="12" style="123" bestFit="1" customWidth="1"/>
    <col min="57" max="57" width="13.6640625" style="123" bestFit="1" customWidth="1"/>
    <col min="58" max="59" width="12.88671875" style="123" bestFit="1" customWidth="1"/>
    <col min="60" max="60" width="13.6640625" style="123" bestFit="1" customWidth="1"/>
    <col min="61" max="61" width="12.5546875" style="123" bestFit="1" customWidth="1"/>
    <col min="62" max="62" width="11.6640625" style="123" bestFit="1" customWidth="1"/>
    <col min="63" max="63" width="18.5546875" style="123" bestFit="1" customWidth="1"/>
    <col min="64" max="64" width="18.5546875" style="123" customWidth="1"/>
    <col min="65" max="65" width="11.5546875" style="123" bestFit="1" customWidth="1"/>
    <col min="66" max="66" width="14.33203125" style="123" bestFit="1" customWidth="1"/>
    <col min="67" max="67" width="13.44140625" style="123" bestFit="1" customWidth="1"/>
    <col min="68" max="71" width="15.6640625" style="123" customWidth="1"/>
    <col min="72" max="79" width="20.109375" style="123" customWidth="1"/>
    <col min="80" max="80" width="25.6640625" style="123" customWidth="1"/>
    <col min="81" max="81" width="17" style="123" customWidth="1"/>
    <col min="82" max="82" width="18.109375" style="123" customWidth="1"/>
    <col min="83" max="83" width="20.109375" style="123" customWidth="1"/>
    <col min="84" max="84" width="21.44140625" style="123" customWidth="1"/>
    <col min="85" max="85" width="14.44140625" style="123" customWidth="1"/>
    <col min="86" max="16384" width="8.88671875" style="123"/>
  </cols>
  <sheetData>
    <row r="1" spans="1:85" ht="21.75" customHeight="1" x14ac:dyDescent="0.35">
      <c r="A1" s="1" t="s">
        <v>45</v>
      </c>
      <c r="B1" s="1" t="s">
        <v>46</v>
      </c>
      <c r="C1" s="139"/>
      <c r="D1" s="250" t="s">
        <v>2</v>
      </c>
      <c r="E1" s="250" t="s">
        <v>69</v>
      </c>
      <c r="G1" s="1"/>
      <c r="H1" s="1"/>
      <c r="S1" s="23"/>
      <c r="T1" s="24"/>
      <c r="U1" s="23"/>
      <c r="V1" s="23"/>
      <c r="W1" s="23"/>
      <c r="X1" s="23"/>
      <c r="AA1" s="23"/>
      <c r="AB1" s="23"/>
      <c r="AC1" s="23"/>
      <c r="AD1" s="23"/>
      <c r="AE1" s="23"/>
      <c r="AF1" s="23"/>
      <c r="AG1" s="23"/>
      <c r="AH1" s="23"/>
      <c r="AI1" s="23"/>
      <c r="AJ1" s="23"/>
      <c r="AK1" s="23"/>
      <c r="AL1" s="23"/>
      <c r="AM1" s="23"/>
      <c r="AN1" s="23"/>
      <c r="AO1" s="23"/>
      <c r="AP1" s="23"/>
    </row>
    <row r="2" spans="1:85" x14ac:dyDescent="0.3">
      <c r="A2" s="2"/>
      <c r="B2" s="2"/>
      <c r="C2" s="2"/>
      <c r="D2" s="250" t="s">
        <v>4</v>
      </c>
      <c r="E2" s="265">
        <v>2022</v>
      </c>
    </row>
    <row r="3" spans="1:85" x14ac:dyDescent="0.3">
      <c r="B3" s="2"/>
      <c r="C3" s="2"/>
      <c r="D3" s="2"/>
      <c r="E3" s="2"/>
    </row>
    <row r="4" spans="1:85" ht="15" customHeight="1" x14ac:dyDescent="0.3">
      <c r="A4" s="181" t="s">
        <v>47</v>
      </c>
      <c r="B4" s="152"/>
      <c r="C4" s="146"/>
      <c r="D4" s="146"/>
      <c r="E4" s="146"/>
      <c r="F4" s="147"/>
      <c r="G4" s="148"/>
      <c r="H4" s="148"/>
      <c r="I4" s="148"/>
      <c r="J4" s="148"/>
      <c r="K4" s="148"/>
      <c r="L4" s="148"/>
      <c r="M4" s="124"/>
      <c r="N4" s="124"/>
      <c r="O4" s="124"/>
      <c r="P4" s="124"/>
      <c r="Q4" s="124"/>
    </row>
    <row r="5" spans="1:85" ht="15" customHeight="1" x14ac:dyDescent="0.3">
      <c r="A5" s="164" t="s">
        <v>48</v>
      </c>
      <c r="B5" s="158"/>
      <c r="C5" s="142"/>
      <c r="D5" s="142"/>
      <c r="E5" s="142"/>
      <c r="F5" s="143"/>
      <c r="G5" s="71"/>
      <c r="H5" s="71"/>
      <c r="I5" s="71"/>
      <c r="J5" s="71"/>
      <c r="K5" s="71"/>
      <c r="L5" s="71"/>
    </row>
    <row r="6" spans="1:85" ht="15" customHeight="1" x14ac:dyDescent="0.3">
      <c r="A6" s="164" t="s">
        <v>49</v>
      </c>
      <c r="B6" s="158"/>
      <c r="C6" s="142"/>
      <c r="D6" s="142"/>
      <c r="E6" s="142"/>
      <c r="F6" s="143"/>
      <c r="G6" s="71"/>
      <c r="H6" s="71"/>
      <c r="I6" s="71"/>
      <c r="J6" s="71"/>
      <c r="K6" s="71"/>
      <c r="L6" s="71"/>
      <c r="T6" s="39"/>
      <c r="U6" s="39"/>
      <c r="V6" s="39"/>
    </row>
    <row r="7" spans="1:85" ht="15" customHeight="1" x14ac:dyDescent="0.3">
      <c r="A7" s="164" t="s">
        <v>50</v>
      </c>
      <c r="B7" s="158"/>
      <c r="C7" s="142"/>
      <c r="D7" s="142"/>
      <c r="E7" s="142"/>
      <c r="F7" s="143"/>
      <c r="G7" s="71"/>
      <c r="H7" s="71"/>
      <c r="I7" s="71"/>
      <c r="J7" s="71"/>
      <c r="K7" s="71"/>
      <c r="L7" s="71"/>
      <c r="T7" s="39"/>
      <c r="U7" s="39"/>
      <c r="V7" s="39"/>
    </row>
    <row r="8" spans="1:85" ht="15" customHeight="1" x14ac:dyDescent="0.3">
      <c r="A8" s="164" t="s">
        <v>51</v>
      </c>
      <c r="B8" s="158"/>
      <c r="C8" s="142"/>
      <c r="D8" s="142"/>
      <c r="E8" s="142"/>
      <c r="F8" s="143"/>
      <c r="G8" s="71"/>
      <c r="H8" s="71"/>
      <c r="I8" s="71"/>
      <c r="J8" s="71"/>
      <c r="K8" s="71"/>
      <c r="L8" s="71"/>
      <c r="T8" s="39"/>
      <c r="U8" s="39"/>
      <c r="V8" s="39"/>
    </row>
    <row r="9" spans="1:85" ht="15" customHeight="1" x14ac:dyDescent="0.3">
      <c r="A9" s="167" t="s">
        <v>52</v>
      </c>
      <c r="B9" s="168"/>
      <c r="C9" s="144"/>
      <c r="D9" s="144"/>
      <c r="E9" s="144"/>
      <c r="F9" s="145"/>
      <c r="G9" s="71"/>
      <c r="H9" s="71"/>
      <c r="I9" s="71"/>
      <c r="J9" s="71"/>
      <c r="K9" s="71"/>
      <c r="L9" s="71"/>
      <c r="T9" s="39"/>
      <c r="U9" s="39"/>
      <c r="V9" s="39"/>
    </row>
    <row r="10" spans="1:85" ht="15" thickBot="1" x14ac:dyDescent="0.35"/>
    <row r="11" spans="1:85" ht="15" thickBot="1" x14ac:dyDescent="0.35">
      <c r="A11" s="917" t="s">
        <v>53</v>
      </c>
      <c r="B11" s="918"/>
      <c r="C11" s="918"/>
      <c r="D11" s="918"/>
      <c r="E11" s="918"/>
      <c r="F11" s="918"/>
      <c r="G11" s="918"/>
      <c r="H11" s="919"/>
      <c r="I11" s="941" t="s">
        <v>54</v>
      </c>
      <c r="J11" s="941"/>
      <c r="K11" s="941"/>
      <c r="L11" s="941"/>
      <c r="M11" s="941"/>
      <c r="N11" s="941"/>
      <c r="O11" s="941"/>
      <c r="P11" s="942"/>
      <c r="Q11" s="932" t="s">
        <v>55</v>
      </c>
      <c r="R11" s="933"/>
      <c r="S11" s="947" t="s">
        <v>56</v>
      </c>
      <c r="T11" s="948"/>
      <c r="U11" s="948"/>
      <c r="V11" s="948"/>
      <c r="W11" s="948"/>
      <c r="X11" s="948"/>
      <c r="Y11" s="948"/>
      <c r="Z11" s="948"/>
      <c r="AA11" s="948"/>
      <c r="AB11" s="948"/>
      <c r="AC11" s="948"/>
      <c r="AD11" s="948"/>
      <c r="AE11" s="948"/>
      <c r="AF11" s="948"/>
      <c r="AG11" s="948"/>
      <c r="AH11" s="948"/>
      <c r="AI11" s="948"/>
      <c r="AJ11" s="948"/>
      <c r="AK11" s="948"/>
      <c r="AL11" s="948"/>
      <c r="AM11" s="948"/>
      <c r="AN11" s="948"/>
      <c r="AO11" s="948"/>
      <c r="AP11" s="948"/>
      <c r="AQ11" s="949"/>
      <c r="AR11" s="923" t="s">
        <v>333</v>
      </c>
      <c r="AS11" s="924"/>
      <c r="AT11" s="924"/>
      <c r="AU11" s="924"/>
      <c r="AV11" s="924"/>
      <c r="AW11" s="924"/>
      <c r="AX11" s="924"/>
      <c r="AY11" s="925"/>
      <c r="AZ11" s="901" t="s">
        <v>57</v>
      </c>
      <c r="BA11" s="902"/>
      <c r="BB11" s="902"/>
      <c r="BC11" s="902"/>
      <c r="BD11" s="902"/>
      <c r="BE11" s="902"/>
      <c r="BF11" s="902"/>
      <c r="BG11" s="902"/>
      <c r="BH11" s="902"/>
      <c r="BI11" s="902"/>
      <c r="BJ11" s="902"/>
      <c r="BK11" s="902"/>
      <c r="BL11" s="902"/>
      <c r="BM11" s="902"/>
      <c r="BN11" s="902"/>
      <c r="BO11" s="902"/>
      <c r="BP11" s="902"/>
      <c r="BQ11" s="902"/>
      <c r="BR11" s="902"/>
      <c r="BS11" s="902"/>
      <c r="BT11" s="902"/>
      <c r="BU11" s="902"/>
      <c r="BV11" s="902"/>
      <c r="BW11" s="902"/>
      <c r="BX11" s="902"/>
      <c r="BY11" s="902"/>
      <c r="BZ11" s="902"/>
      <c r="CA11" s="903"/>
      <c r="CB11" s="887" t="s">
        <v>58</v>
      </c>
      <c r="CC11" s="888"/>
      <c r="CD11" s="888"/>
      <c r="CE11" s="888"/>
      <c r="CF11" s="888"/>
      <c r="CG11" s="889"/>
    </row>
    <row r="12" spans="1:85" ht="15.75" customHeight="1" thickBot="1" x14ac:dyDescent="0.35">
      <c r="A12" s="920"/>
      <c r="B12" s="921"/>
      <c r="C12" s="921"/>
      <c r="D12" s="921"/>
      <c r="E12" s="921"/>
      <c r="F12" s="921"/>
      <c r="G12" s="921"/>
      <c r="H12" s="922"/>
      <c r="I12" s="943"/>
      <c r="J12" s="943"/>
      <c r="K12" s="943"/>
      <c r="L12" s="943"/>
      <c r="M12" s="943"/>
      <c r="N12" s="943"/>
      <c r="O12" s="943"/>
      <c r="P12" s="944"/>
      <c r="Q12" s="934"/>
      <c r="R12" s="935"/>
      <c r="S12" s="938" t="s">
        <v>59</v>
      </c>
      <c r="T12" s="939"/>
      <c r="U12" s="939"/>
      <c r="V12" s="939"/>
      <c r="W12" s="939"/>
      <c r="X12" s="939"/>
      <c r="Y12" s="939"/>
      <c r="Z12" s="940"/>
      <c r="AA12" s="938" t="s">
        <v>60</v>
      </c>
      <c r="AB12" s="939"/>
      <c r="AC12" s="939"/>
      <c r="AD12" s="939"/>
      <c r="AE12" s="939"/>
      <c r="AF12" s="939"/>
      <c r="AG12" s="939"/>
      <c r="AH12" s="939"/>
      <c r="AI12" s="940"/>
      <c r="AJ12" s="950" t="s">
        <v>61</v>
      </c>
      <c r="AK12" s="951"/>
      <c r="AL12" s="951"/>
      <c r="AM12" s="951"/>
      <c r="AN12" s="951"/>
      <c r="AO12" s="951"/>
      <c r="AP12" s="951"/>
      <c r="AQ12" s="952"/>
      <c r="AR12" s="926"/>
      <c r="AS12" s="927"/>
      <c r="AT12" s="927"/>
      <c r="AU12" s="927"/>
      <c r="AV12" s="927"/>
      <c r="AW12" s="927"/>
      <c r="AX12" s="927"/>
      <c r="AY12" s="928"/>
      <c r="AZ12" s="887" t="s">
        <v>62</v>
      </c>
      <c r="BA12" s="904"/>
      <c r="BB12" s="904"/>
      <c r="BC12" s="904"/>
      <c r="BD12" s="904"/>
      <c r="BE12" s="904"/>
      <c r="BF12" s="904"/>
      <c r="BG12" s="904"/>
      <c r="BH12" s="904"/>
      <c r="BI12" s="904"/>
      <c r="BJ12" s="904"/>
      <c r="BK12" s="905"/>
      <c r="BL12" s="852"/>
      <c r="BM12" s="895" t="s">
        <v>63</v>
      </c>
      <c r="BN12" s="896"/>
      <c r="BO12" s="895" t="s">
        <v>64</v>
      </c>
      <c r="BP12" s="896"/>
      <c r="BQ12" s="897"/>
      <c r="BR12" s="895" t="s">
        <v>65</v>
      </c>
      <c r="BS12" s="897"/>
      <c r="BT12" s="890" t="s">
        <v>66</v>
      </c>
      <c r="BU12" s="909"/>
      <c r="BV12" s="909"/>
      <c r="BW12" s="909"/>
      <c r="BX12" s="909"/>
      <c r="BY12" s="909"/>
      <c r="BZ12" s="909"/>
      <c r="CA12" s="909"/>
      <c r="CB12" s="890" t="s">
        <v>67</v>
      </c>
      <c r="CC12" s="892"/>
      <c r="CD12" s="892"/>
      <c r="CE12" s="890" t="s">
        <v>68</v>
      </c>
      <c r="CF12" s="870"/>
      <c r="CG12" s="893" t="s">
        <v>69</v>
      </c>
    </row>
    <row r="13" spans="1:85" ht="29.4" thickBot="1" x14ac:dyDescent="0.35">
      <c r="A13" s="920"/>
      <c r="B13" s="921"/>
      <c r="C13" s="921"/>
      <c r="D13" s="921"/>
      <c r="E13" s="921"/>
      <c r="F13" s="921"/>
      <c r="G13" s="921"/>
      <c r="H13" s="922"/>
      <c r="I13" s="945"/>
      <c r="J13" s="945"/>
      <c r="K13" s="945"/>
      <c r="L13" s="945"/>
      <c r="M13" s="945"/>
      <c r="N13" s="945"/>
      <c r="O13" s="945"/>
      <c r="P13" s="946"/>
      <c r="Q13" s="936"/>
      <c r="R13" s="937"/>
      <c r="S13" s="915" t="s">
        <v>461</v>
      </c>
      <c r="T13" s="916"/>
      <c r="U13" s="913" t="s">
        <v>462</v>
      </c>
      <c r="V13" s="916"/>
      <c r="W13" s="913" t="s">
        <v>463</v>
      </c>
      <c r="X13" s="914"/>
      <c r="Y13" s="913" t="s">
        <v>464</v>
      </c>
      <c r="Z13" s="914"/>
      <c r="AA13" s="915" t="s">
        <v>461</v>
      </c>
      <c r="AB13" s="916"/>
      <c r="AC13" s="913" t="s">
        <v>462</v>
      </c>
      <c r="AD13" s="916"/>
      <c r="AE13" s="913" t="s">
        <v>463</v>
      </c>
      <c r="AF13" s="914"/>
      <c r="AG13" s="913" t="s">
        <v>464</v>
      </c>
      <c r="AH13" s="914"/>
      <c r="AI13" s="149" t="s">
        <v>74</v>
      </c>
      <c r="AJ13" s="915" t="s">
        <v>461</v>
      </c>
      <c r="AK13" s="916"/>
      <c r="AL13" s="913" t="s">
        <v>462</v>
      </c>
      <c r="AM13" s="916"/>
      <c r="AN13" s="913" t="s">
        <v>463</v>
      </c>
      <c r="AO13" s="914"/>
      <c r="AP13" s="913" t="s">
        <v>464</v>
      </c>
      <c r="AQ13" s="914"/>
      <c r="AR13" s="929"/>
      <c r="AS13" s="930"/>
      <c r="AT13" s="930"/>
      <c r="AU13" s="930"/>
      <c r="AV13" s="930"/>
      <c r="AW13" s="930"/>
      <c r="AX13" s="930"/>
      <c r="AY13" s="931"/>
      <c r="AZ13" s="906"/>
      <c r="BA13" s="907"/>
      <c r="BB13" s="907"/>
      <c r="BC13" s="907"/>
      <c r="BD13" s="907"/>
      <c r="BE13" s="907"/>
      <c r="BF13" s="907"/>
      <c r="BG13" s="907"/>
      <c r="BH13" s="907"/>
      <c r="BI13" s="907"/>
      <c r="BJ13" s="907"/>
      <c r="BK13" s="908"/>
      <c r="BL13" s="853"/>
      <c r="BM13" s="898"/>
      <c r="BN13" s="899"/>
      <c r="BO13" s="898"/>
      <c r="BP13" s="899"/>
      <c r="BQ13" s="900"/>
      <c r="BR13" s="898"/>
      <c r="BS13" s="900"/>
      <c r="BT13" s="895" t="s">
        <v>75</v>
      </c>
      <c r="BU13" s="896"/>
      <c r="BV13" s="896"/>
      <c r="BW13" s="896"/>
      <c r="BX13" s="896"/>
      <c r="BY13" s="896"/>
      <c r="BZ13" s="896"/>
      <c r="CA13" s="896"/>
      <c r="CB13" s="541" t="s">
        <v>76</v>
      </c>
      <c r="CC13" s="890" t="s">
        <v>77</v>
      </c>
      <c r="CD13" s="891"/>
      <c r="CE13" s="890" t="s">
        <v>78</v>
      </c>
      <c r="CF13" s="891"/>
      <c r="CG13" s="894"/>
    </row>
    <row r="14" spans="1:85" ht="72.599999999999994" thickBot="1" x14ac:dyDescent="0.35">
      <c r="A14" s="343" t="s">
        <v>2</v>
      </c>
      <c r="B14" s="344" t="s">
        <v>12</v>
      </c>
      <c r="C14" s="344" t="s">
        <v>13</v>
      </c>
      <c r="D14" s="102" t="s">
        <v>14</v>
      </c>
      <c r="E14" s="102" t="s">
        <v>15</v>
      </c>
      <c r="F14" s="102" t="s">
        <v>16</v>
      </c>
      <c r="G14" s="102" t="s">
        <v>17</v>
      </c>
      <c r="H14" s="348" t="s">
        <v>18</v>
      </c>
      <c r="I14" s="243" t="s">
        <v>79</v>
      </c>
      <c r="J14" s="244" t="s">
        <v>80</v>
      </c>
      <c r="K14" s="244" t="s">
        <v>81</v>
      </c>
      <c r="L14" s="244" t="s">
        <v>82</v>
      </c>
      <c r="M14" s="244" t="s">
        <v>83</v>
      </c>
      <c r="N14" s="244" t="s">
        <v>84</v>
      </c>
      <c r="O14" s="244" t="s">
        <v>85</v>
      </c>
      <c r="P14" s="244" t="s">
        <v>86</v>
      </c>
      <c r="Q14" s="245" t="s">
        <v>87</v>
      </c>
      <c r="R14" s="246" t="s">
        <v>88</v>
      </c>
      <c r="S14" s="219" t="s">
        <v>89</v>
      </c>
      <c r="T14" s="546" t="s">
        <v>90</v>
      </c>
      <c r="U14" s="546" t="s">
        <v>91</v>
      </c>
      <c r="V14" s="546" t="s">
        <v>92</v>
      </c>
      <c r="W14" s="546" t="s">
        <v>89</v>
      </c>
      <c r="X14" s="546" t="s">
        <v>92</v>
      </c>
      <c r="Y14" s="546" t="s">
        <v>93</v>
      </c>
      <c r="Z14" s="220" t="s">
        <v>94</v>
      </c>
      <c r="AA14" s="219" t="s">
        <v>95</v>
      </c>
      <c r="AB14" s="546" t="s">
        <v>96</v>
      </c>
      <c r="AC14" s="546" t="s">
        <v>95</v>
      </c>
      <c r="AD14" s="546" t="s">
        <v>97</v>
      </c>
      <c r="AE14" s="546" t="s">
        <v>95</v>
      </c>
      <c r="AF14" s="546" t="s">
        <v>97</v>
      </c>
      <c r="AG14" s="546" t="s">
        <v>98</v>
      </c>
      <c r="AH14" s="546" t="s">
        <v>99</v>
      </c>
      <c r="AI14" s="220" t="s">
        <v>100</v>
      </c>
      <c r="AJ14" s="219" t="s">
        <v>101</v>
      </c>
      <c r="AK14" s="546" t="s">
        <v>102</v>
      </c>
      <c r="AL14" s="546" t="s">
        <v>101</v>
      </c>
      <c r="AM14" s="546" t="s">
        <v>102</v>
      </c>
      <c r="AN14" s="546" t="s">
        <v>103</v>
      </c>
      <c r="AO14" s="546" t="s">
        <v>104</v>
      </c>
      <c r="AP14" s="546" t="s">
        <v>105</v>
      </c>
      <c r="AQ14" s="220" t="s">
        <v>106</v>
      </c>
      <c r="AR14" s="222" t="s">
        <v>107</v>
      </c>
      <c r="AS14" s="223" t="s">
        <v>108</v>
      </c>
      <c r="AT14" s="223" t="s">
        <v>109</v>
      </c>
      <c r="AU14" s="223" t="s">
        <v>110</v>
      </c>
      <c r="AV14" s="223" t="s">
        <v>111</v>
      </c>
      <c r="AW14" s="223" t="s">
        <v>112</v>
      </c>
      <c r="AX14" s="224" t="s">
        <v>113</v>
      </c>
      <c r="AY14" s="225" t="s">
        <v>114</v>
      </c>
      <c r="AZ14" s="76" t="s">
        <v>115</v>
      </c>
      <c r="BA14" s="76" t="s">
        <v>116</v>
      </c>
      <c r="BB14" s="76" t="s">
        <v>117</v>
      </c>
      <c r="BC14" s="76" t="s">
        <v>118</v>
      </c>
      <c r="BD14" s="77" t="s">
        <v>119</v>
      </c>
      <c r="BE14" s="76" t="s">
        <v>120</v>
      </c>
      <c r="BF14" s="76" t="s">
        <v>121</v>
      </c>
      <c r="BG14" s="76" t="s">
        <v>122</v>
      </c>
      <c r="BH14" s="76" t="s">
        <v>123</v>
      </c>
      <c r="BI14" s="549" t="s">
        <v>124</v>
      </c>
      <c r="BJ14" s="77" t="s">
        <v>501</v>
      </c>
      <c r="BK14" s="549" t="s">
        <v>126</v>
      </c>
      <c r="BL14" s="598" t="s">
        <v>538</v>
      </c>
      <c r="BM14" s="90" t="s">
        <v>127</v>
      </c>
      <c r="BN14" s="542" t="s">
        <v>128</v>
      </c>
      <c r="BO14" s="541" t="s">
        <v>129</v>
      </c>
      <c r="BP14" s="88" t="s">
        <v>130</v>
      </c>
      <c r="BQ14" s="542" t="s">
        <v>131</v>
      </c>
      <c r="BR14" s="90" t="s">
        <v>132</v>
      </c>
      <c r="BS14" s="542" t="s">
        <v>133</v>
      </c>
      <c r="BT14" s="541" t="s">
        <v>134</v>
      </c>
      <c r="BU14" s="88" t="s">
        <v>135</v>
      </c>
      <c r="BV14" s="543" t="s">
        <v>136</v>
      </c>
      <c r="BW14" s="232" t="s">
        <v>137</v>
      </c>
      <c r="BX14" s="541" t="s">
        <v>138</v>
      </c>
      <c r="BY14" s="88" t="s">
        <v>139</v>
      </c>
      <c r="BZ14" s="543" t="s">
        <v>140</v>
      </c>
      <c r="CA14" s="89" t="s">
        <v>141</v>
      </c>
      <c r="CB14" s="544" t="s">
        <v>142</v>
      </c>
      <c r="CC14" s="233" t="s">
        <v>143</v>
      </c>
      <c r="CD14" s="545" t="s">
        <v>144</v>
      </c>
      <c r="CE14" s="90" t="s">
        <v>145</v>
      </c>
      <c r="CF14" s="542" t="s">
        <v>146</v>
      </c>
      <c r="CG14" s="542" t="s">
        <v>147</v>
      </c>
    </row>
    <row r="15" spans="1:85" ht="30" customHeight="1" thickBot="1" x14ac:dyDescent="0.35">
      <c r="A15" s="60" t="str">
        <f t="shared" ref="A15:A70" si="0">$E$1</f>
        <v>Unitil</v>
      </c>
      <c r="B15" s="66" t="s">
        <v>383</v>
      </c>
      <c r="C15" s="66" t="s">
        <v>383</v>
      </c>
      <c r="D15" s="58" t="s">
        <v>384</v>
      </c>
      <c r="E15" s="58" t="s">
        <v>385</v>
      </c>
      <c r="F15" s="58" t="s">
        <v>386</v>
      </c>
      <c r="G15" s="58" t="s">
        <v>385</v>
      </c>
      <c r="H15" s="10" t="s">
        <v>387</v>
      </c>
      <c r="I15" s="242" t="s">
        <v>453</v>
      </c>
      <c r="J15" s="104" t="s">
        <v>454</v>
      </c>
      <c r="K15" s="523">
        <v>9.5609204577802025</v>
      </c>
      <c r="L15" s="523">
        <v>5.372008232517044</v>
      </c>
      <c r="M15" s="58">
        <v>612</v>
      </c>
      <c r="N15" s="582">
        <v>5873851.5712682707</v>
      </c>
      <c r="O15" s="514" t="s">
        <v>455</v>
      </c>
      <c r="P15" s="524">
        <v>4.5</v>
      </c>
      <c r="Q15" s="608" t="s">
        <v>448</v>
      </c>
      <c r="R15" s="525" t="s">
        <v>449</v>
      </c>
      <c r="S15" s="18">
        <v>8</v>
      </c>
      <c r="T15" s="16">
        <f>S15</f>
        <v>8</v>
      </c>
      <c r="U15" s="128">
        <v>0</v>
      </c>
      <c r="V15" s="16">
        <f>U15</f>
        <v>0</v>
      </c>
      <c r="W15" s="128">
        <v>0</v>
      </c>
      <c r="X15" s="16">
        <f>W15</f>
        <v>0</v>
      </c>
      <c r="Y15" s="128">
        <v>0</v>
      </c>
      <c r="Z15" s="10">
        <f t="shared" ref="Z15:Z18" si="1">Y15</f>
        <v>0</v>
      </c>
      <c r="AA15" s="561">
        <v>436</v>
      </c>
      <c r="AB15" s="562">
        <f>AA15</f>
        <v>436</v>
      </c>
      <c r="AC15" s="563"/>
      <c r="AD15" s="562">
        <f>AC15</f>
        <v>0</v>
      </c>
      <c r="AE15" s="563"/>
      <c r="AF15" s="562">
        <f>AE15</f>
        <v>0</v>
      </c>
      <c r="AG15" s="563"/>
      <c r="AH15" s="562"/>
      <c r="AI15" s="564">
        <f>IF(SUM(AA15,AC15,AE15,AG15)=0,0,(SUM(AA15,AC15,AE15,AG15)/(P15*1000)))</f>
        <v>9.6888888888888886E-2</v>
      </c>
      <c r="AJ15" s="565">
        <f>AA15*0.186*8760</f>
        <v>710400.96000000008</v>
      </c>
      <c r="AK15" s="566">
        <f>AB15*0.186*8760</f>
        <v>710400.96000000008</v>
      </c>
      <c r="AL15" s="565">
        <f>AC15*8760</f>
        <v>0</v>
      </c>
      <c r="AM15" s="565">
        <f>AD15*8760</f>
        <v>0</v>
      </c>
      <c r="AN15" s="565">
        <f>AE15*0.186*8760</f>
        <v>0</v>
      </c>
      <c r="AO15" s="565">
        <f>AF15*0.186*8760</f>
        <v>0</v>
      </c>
      <c r="AP15" s="565">
        <f>AG15*0.046*8760</f>
        <v>0</v>
      </c>
      <c r="AQ15" s="565">
        <f>AH15*0.046*8760</f>
        <v>0</v>
      </c>
      <c r="AR15" s="226">
        <v>0</v>
      </c>
      <c r="AS15" s="227">
        <v>0</v>
      </c>
      <c r="AT15" s="227">
        <v>0</v>
      </c>
      <c r="AU15" s="227">
        <v>0</v>
      </c>
      <c r="AV15" s="227">
        <v>0</v>
      </c>
      <c r="AW15" s="227">
        <v>0</v>
      </c>
      <c r="AX15" s="227">
        <v>0</v>
      </c>
      <c r="AY15" s="228">
        <v>0</v>
      </c>
      <c r="AZ15" s="637">
        <f>N15</f>
        <v>5873851.5712682707</v>
      </c>
      <c r="BA15" s="84" t="s">
        <v>383</v>
      </c>
      <c r="BB15" s="638">
        <f>P15</f>
        <v>4.5</v>
      </c>
      <c r="BC15" s="22" t="s">
        <v>383</v>
      </c>
      <c r="BD15" s="639">
        <f>(((92178/SUM(P$15:P$70))*P15)/92178)*21417</f>
        <v>457.67818897600392</v>
      </c>
      <c r="BE15" s="126" t="s">
        <v>383</v>
      </c>
      <c r="BF15" s="129">
        <v>0.95</v>
      </c>
      <c r="BG15" s="221" t="s">
        <v>383</v>
      </c>
      <c r="BH15" s="640">
        <f>AZ15/1000*0.1869</f>
        <v>1097.82285867004</v>
      </c>
      <c r="BI15" s="221" t="s">
        <v>383</v>
      </c>
      <c r="BJ15" s="126">
        <v>1</v>
      </c>
      <c r="BK15" s="765">
        <f>'9. Pre-Investment Baselines'!AV9-BJ15</f>
        <v>-0.66666666666666674</v>
      </c>
      <c r="BL15" s="858">
        <f t="shared" ref="BL15:BL44" si="2">BK15+BJ15</f>
        <v>0.33333333333333326</v>
      </c>
      <c r="BM15" s="94" t="s">
        <v>387</v>
      </c>
      <c r="BN15" s="127">
        <f t="shared" ref="BN15:BN20" si="3">IF(BM15="y",M15,0)</f>
        <v>0</v>
      </c>
      <c r="BO15" s="511" t="s">
        <v>387</v>
      </c>
      <c r="BP15" s="512" t="s">
        <v>383</v>
      </c>
      <c r="BQ15" s="513">
        <f t="shared" ref="BQ15:BQ18" si="4">IF(BO15="Y",M15,IF(BO15="N",0))</f>
        <v>0</v>
      </c>
      <c r="BR15" s="767" t="s">
        <v>383</v>
      </c>
      <c r="BS15" s="768" t="s">
        <v>383</v>
      </c>
      <c r="BT15" s="488">
        <v>0</v>
      </c>
      <c r="BU15" s="489">
        <v>157.1833</v>
      </c>
      <c r="BV15" s="490">
        <v>0</v>
      </c>
      <c r="BW15" s="491">
        <v>45.056669999999997</v>
      </c>
      <c r="BX15" s="488">
        <v>0</v>
      </c>
      <c r="BY15" s="490">
        <v>1.7413333</v>
      </c>
      <c r="BZ15" s="490">
        <v>0</v>
      </c>
      <c r="CA15" s="491">
        <v>0.30933329999999998</v>
      </c>
      <c r="CB15" s="237" t="s">
        <v>383</v>
      </c>
      <c r="CC15" s="234" t="s">
        <v>383</v>
      </c>
      <c r="CD15" s="235" t="s">
        <v>383</v>
      </c>
      <c r="CE15" s="94" t="s">
        <v>383</v>
      </c>
      <c r="CF15" s="95" t="s">
        <v>383</v>
      </c>
      <c r="CG15" s="52">
        <v>0</v>
      </c>
    </row>
    <row r="16" spans="1:85" ht="30" customHeight="1" thickBot="1" x14ac:dyDescent="0.35">
      <c r="A16" s="60" t="str">
        <f t="shared" si="0"/>
        <v>Unitil</v>
      </c>
      <c r="B16" s="66" t="s">
        <v>383</v>
      </c>
      <c r="C16" s="66" t="s">
        <v>383</v>
      </c>
      <c r="D16" s="58" t="s">
        <v>384</v>
      </c>
      <c r="E16" s="58" t="s">
        <v>385</v>
      </c>
      <c r="F16" s="58" t="s">
        <v>388</v>
      </c>
      <c r="G16" s="58" t="s">
        <v>385</v>
      </c>
      <c r="H16" s="10" t="s">
        <v>387</v>
      </c>
      <c r="I16" s="14" t="s">
        <v>453</v>
      </c>
      <c r="J16" s="128" t="s">
        <v>454</v>
      </c>
      <c r="K16" s="526">
        <v>9.5609204577802025</v>
      </c>
      <c r="L16" s="526">
        <v>9.4202588561799203</v>
      </c>
      <c r="M16" s="58">
        <v>1998</v>
      </c>
      <c r="N16" s="582">
        <v>13234649.840067733</v>
      </c>
      <c r="O16" s="527" t="s">
        <v>455</v>
      </c>
      <c r="P16" s="524">
        <v>2.948</v>
      </c>
      <c r="Q16" s="608" t="s">
        <v>448</v>
      </c>
      <c r="R16" s="528" t="s">
        <v>449</v>
      </c>
      <c r="S16" s="18">
        <v>113</v>
      </c>
      <c r="T16" s="16">
        <f t="shared" ref="T16:V70" si="5">S16</f>
        <v>113</v>
      </c>
      <c r="U16" s="128">
        <v>1</v>
      </c>
      <c r="V16" s="16">
        <f t="shared" si="5"/>
        <v>1</v>
      </c>
      <c r="W16" s="128">
        <v>0</v>
      </c>
      <c r="X16" s="16">
        <f t="shared" ref="X16:X18" si="6">W16</f>
        <v>0</v>
      </c>
      <c r="Y16" s="128">
        <v>0</v>
      </c>
      <c r="Z16" s="10">
        <f t="shared" si="1"/>
        <v>0</v>
      </c>
      <c r="AA16" s="561">
        <v>856</v>
      </c>
      <c r="AB16" s="562">
        <f t="shared" ref="AB16:AB18" si="7">AA16</f>
        <v>856</v>
      </c>
      <c r="AC16" s="563">
        <v>1.2</v>
      </c>
      <c r="AD16" s="562">
        <f t="shared" ref="AD16:AD18" si="8">AC16</f>
        <v>1.2</v>
      </c>
      <c r="AE16" s="563"/>
      <c r="AF16" s="562">
        <f t="shared" ref="AF16:AF18" si="9">AE16</f>
        <v>0</v>
      </c>
      <c r="AG16" s="563"/>
      <c r="AH16" s="562"/>
      <c r="AI16" s="564">
        <f t="shared" ref="AI16:AI70" si="10">IF(SUM(AA16,AC16,AE16,AG16)=0,0,(SUM(AA16,AC16,AE16,AG16)/(P16*1000)))</f>
        <v>0.29077340569877885</v>
      </c>
      <c r="AJ16" s="565">
        <f t="shared" ref="AJ16:AK18" si="11">AA16*0.186*8760</f>
        <v>1394732.1600000001</v>
      </c>
      <c r="AK16" s="566">
        <f t="shared" si="11"/>
        <v>1394732.1600000001</v>
      </c>
      <c r="AL16" s="565">
        <f t="shared" ref="AL16:AM18" si="12">AC16*8760</f>
        <v>10512</v>
      </c>
      <c r="AM16" s="565">
        <f t="shared" si="12"/>
        <v>10512</v>
      </c>
      <c r="AN16" s="565">
        <f t="shared" ref="AN16:AO18" si="13">AE16*0.186*8760</f>
        <v>0</v>
      </c>
      <c r="AO16" s="565">
        <f t="shared" si="13"/>
        <v>0</v>
      </c>
      <c r="AP16" s="565">
        <f t="shared" ref="AP16:AQ18" si="14">AG16*0.046*8760</f>
        <v>0</v>
      </c>
      <c r="AQ16" s="565">
        <f t="shared" si="14"/>
        <v>0</v>
      </c>
      <c r="AR16" s="492">
        <v>0</v>
      </c>
      <c r="AS16" s="493">
        <v>0</v>
      </c>
      <c r="AT16" s="493">
        <v>0</v>
      </c>
      <c r="AU16" s="493">
        <v>0</v>
      </c>
      <c r="AV16" s="493">
        <v>0</v>
      </c>
      <c r="AW16" s="493">
        <v>0</v>
      </c>
      <c r="AX16" s="493">
        <v>0</v>
      </c>
      <c r="AY16" s="494">
        <v>0</v>
      </c>
      <c r="AZ16" s="637">
        <f t="shared" ref="AZ16:AZ71" si="15">N16</f>
        <v>13234649.840067733</v>
      </c>
      <c r="BA16" s="84" t="s">
        <v>383</v>
      </c>
      <c r="BB16" s="638">
        <f t="shared" ref="BB16:BB71" si="16">P16</f>
        <v>2.948</v>
      </c>
      <c r="BC16" s="22" t="s">
        <v>383</v>
      </c>
      <c r="BD16" s="639">
        <f t="shared" ref="BD16:BD71" si="17">(((92178/SUM(P$15:P$70))*P16)/92178)*21417</f>
        <v>299.83006691139099</v>
      </c>
      <c r="BE16" s="126" t="s">
        <v>383</v>
      </c>
      <c r="BF16" s="129">
        <v>1.95</v>
      </c>
      <c r="BG16" s="221" t="s">
        <v>383</v>
      </c>
      <c r="BH16" s="640">
        <f t="shared" ref="BH16:BH71" si="18">AZ16/1000*0.1869</f>
        <v>2473.5560551086596</v>
      </c>
      <c r="BI16" s="221" t="s">
        <v>383</v>
      </c>
      <c r="BJ16" s="126">
        <v>3</v>
      </c>
      <c r="BK16" s="765">
        <f>'9. Pre-Investment Baselines'!AV10-BJ16</f>
        <v>-2</v>
      </c>
      <c r="BL16" s="858">
        <f t="shared" si="2"/>
        <v>1</v>
      </c>
      <c r="BM16" s="94" t="s">
        <v>387</v>
      </c>
      <c r="BN16" s="127">
        <f t="shared" si="3"/>
        <v>0</v>
      </c>
      <c r="BO16" s="511" t="s">
        <v>387</v>
      </c>
      <c r="BP16" s="514" t="s">
        <v>383</v>
      </c>
      <c r="BQ16" s="513">
        <f t="shared" si="4"/>
        <v>0</v>
      </c>
      <c r="BR16" s="767" t="s">
        <v>383</v>
      </c>
      <c r="BS16" s="768" t="s">
        <v>383</v>
      </c>
      <c r="BT16" s="488">
        <v>4.78</v>
      </c>
      <c r="BU16" s="489">
        <v>162.73329999999999</v>
      </c>
      <c r="BV16" s="490">
        <v>4.49</v>
      </c>
      <c r="BW16" s="491">
        <v>38.15</v>
      </c>
      <c r="BX16" s="488">
        <v>0.13</v>
      </c>
      <c r="BY16" s="490">
        <v>2.2890000000000001</v>
      </c>
      <c r="BZ16" s="490">
        <v>0.124</v>
      </c>
      <c r="CA16" s="491">
        <v>0.96200000000000008</v>
      </c>
      <c r="CB16" s="257" t="s">
        <v>383</v>
      </c>
      <c r="CC16" s="94" t="s">
        <v>383</v>
      </c>
      <c r="CD16" s="495" t="s">
        <v>383</v>
      </c>
      <c r="CE16" s="94" t="s">
        <v>383</v>
      </c>
      <c r="CF16" s="95" t="s">
        <v>383</v>
      </c>
      <c r="CG16" s="52"/>
    </row>
    <row r="17" spans="1:85" ht="30" customHeight="1" thickBot="1" x14ac:dyDescent="0.35">
      <c r="A17" s="60" t="str">
        <f t="shared" si="0"/>
        <v>Unitil</v>
      </c>
      <c r="B17" s="66" t="s">
        <v>383</v>
      </c>
      <c r="C17" s="66" t="s">
        <v>383</v>
      </c>
      <c r="D17" s="58" t="s">
        <v>384</v>
      </c>
      <c r="E17" s="58" t="s">
        <v>385</v>
      </c>
      <c r="F17" s="58" t="s">
        <v>389</v>
      </c>
      <c r="G17" s="58" t="s">
        <v>385</v>
      </c>
      <c r="H17" s="10" t="s">
        <v>387</v>
      </c>
      <c r="I17" s="14" t="s">
        <v>453</v>
      </c>
      <c r="J17" s="128" t="s">
        <v>454</v>
      </c>
      <c r="K17" s="526">
        <v>9.5609204577802025</v>
      </c>
      <c r="L17" s="526">
        <v>8.9421155028409078</v>
      </c>
      <c r="M17" s="58">
        <v>1655</v>
      </c>
      <c r="N17" s="582">
        <v>10912145.515455619</v>
      </c>
      <c r="O17" s="527" t="s">
        <v>455</v>
      </c>
      <c r="P17" s="524">
        <v>2.5659999999999998</v>
      </c>
      <c r="Q17" s="608" t="s">
        <v>448</v>
      </c>
      <c r="R17" s="528" t="s">
        <v>449</v>
      </c>
      <c r="S17" s="18">
        <v>109</v>
      </c>
      <c r="T17" s="16">
        <f t="shared" si="5"/>
        <v>109</v>
      </c>
      <c r="U17" s="128">
        <v>0</v>
      </c>
      <c r="V17" s="16">
        <f t="shared" si="5"/>
        <v>0</v>
      </c>
      <c r="W17" s="128">
        <v>2</v>
      </c>
      <c r="X17" s="16">
        <f t="shared" si="6"/>
        <v>2</v>
      </c>
      <c r="Y17" s="128">
        <v>0</v>
      </c>
      <c r="Z17" s="10">
        <f t="shared" si="1"/>
        <v>0</v>
      </c>
      <c r="AA17" s="561">
        <v>1100</v>
      </c>
      <c r="AB17" s="562">
        <f t="shared" si="7"/>
        <v>1100</v>
      </c>
      <c r="AC17" s="563"/>
      <c r="AD17" s="562">
        <f t="shared" si="8"/>
        <v>0</v>
      </c>
      <c r="AE17" s="563">
        <v>15</v>
      </c>
      <c r="AF17" s="562">
        <f t="shared" si="9"/>
        <v>15</v>
      </c>
      <c r="AG17" s="563"/>
      <c r="AH17" s="562"/>
      <c r="AI17" s="564">
        <f t="shared" si="10"/>
        <v>0.43452844894777864</v>
      </c>
      <c r="AJ17" s="565">
        <f t="shared" si="11"/>
        <v>1792296</v>
      </c>
      <c r="AK17" s="566">
        <f t="shared" si="11"/>
        <v>1792296</v>
      </c>
      <c r="AL17" s="565">
        <f t="shared" si="12"/>
        <v>0</v>
      </c>
      <c r="AM17" s="565">
        <f t="shared" si="12"/>
        <v>0</v>
      </c>
      <c r="AN17" s="565">
        <f t="shared" si="13"/>
        <v>24440.400000000001</v>
      </c>
      <c r="AO17" s="565">
        <f t="shared" si="13"/>
        <v>24440.400000000001</v>
      </c>
      <c r="AP17" s="565">
        <f t="shared" si="14"/>
        <v>0</v>
      </c>
      <c r="AQ17" s="565">
        <f t="shared" si="14"/>
        <v>0</v>
      </c>
      <c r="AR17" s="492">
        <v>0</v>
      </c>
      <c r="AS17" s="493">
        <v>0</v>
      </c>
      <c r="AT17" s="493">
        <v>0</v>
      </c>
      <c r="AU17" s="493">
        <v>0</v>
      </c>
      <c r="AV17" s="493">
        <v>0</v>
      </c>
      <c r="AW17" s="493">
        <v>0</v>
      </c>
      <c r="AX17" s="493">
        <v>0</v>
      </c>
      <c r="AY17" s="494">
        <v>0</v>
      </c>
      <c r="AZ17" s="637">
        <f t="shared" si="15"/>
        <v>10912145.515455619</v>
      </c>
      <c r="BA17" s="84" t="s">
        <v>383</v>
      </c>
      <c r="BB17" s="638">
        <f t="shared" si="16"/>
        <v>2.5659999999999998</v>
      </c>
      <c r="BC17" s="22" t="s">
        <v>383</v>
      </c>
      <c r="BD17" s="639">
        <f t="shared" si="17"/>
        <v>260.97827398053914</v>
      </c>
      <c r="BE17" s="126" t="s">
        <v>383</v>
      </c>
      <c r="BF17" s="129">
        <v>2.95</v>
      </c>
      <c r="BG17" s="221" t="s">
        <v>383</v>
      </c>
      <c r="BH17" s="640">
        <f t="shared" si="18"/>
        <v>2039.4799968386553</v>
      </c>
      <c r="BI17" s="221" t="s">
        <v>383</v>
      </c>
      <c r="BJ17" s="126">
        <v>1</v>
      </c>
      <c r="BK17" s="765">
        <f>'9. Pre-Investment Baselines'!AV11-BJ17</f>
        <v>0.33333333333333326</v>
      </c>
      <c r="BL17" s="858">
        <f t="shared" si="2"/>
        <v>1.3333333333333333</v>
      </c>
      <c r="BM17" s="94" t="s">
        <v>387</v>
      </c>
      <c r="BN17" s="127">
        <f t="shared" si="3"/>
        <v>0</v>
      </c>
      <c r="BO17" s="511" t="s">
        <v>387</v>
      </c>
      <c r="BP17" s="514" t="s">
        <v>383</v>
      </c>
      <c r="BQ17" s="513">
        <f t="shared" si="4"/>
        <v>0</v>
      </c>
      <c r="BR17" s="767" t="s">
        <v>383</v>
      </c>
      <c r="BS17" s="768" t="s">
        <v>383</v>
      </c>
      <c r="BT17" s="488">
        <v>15.9</v>
      </c>
      <c r="BU17" s="489">
        <v>147.01669999999999</v>
      </c>
      <c r="BV17" s="490">
        <v>15.9</v>
      </c>
      <c r="BW17" s="491">
        <v>46.123330000000003</v>
      </c>
      <c r="BX17" s="488">
        <v>0.13700000000000001</v>
      </c>
      <c r="BY17" s="490">
        <v>2.3483333000000002</v>
      </c>
      <c r="BZ17" s="490">
        <v>0.13700000000000001</v>
      </c>
      <c r="CA17" s="491">
        <v>1.2263333000000001</v>
      </c>
      <c r="CB17" s="257" t="s">
        <v>383</v>
      </c>
      <c r="CC17" s="94" t="s">
        <v>383</v>
      </c>
      <c r="CD17" s="495" t="s">
        <v>383</v>
      </c>
      <c r="CE17" s="94" t="s">
        <v>383</v>
      </c>
      <c r="CF17" s="95" t="s">
        <v>383</v>
      </c>
      <c r="CG17" s="52"/>
    </row>
    <row r="18" spans="1:85" ht="30" customHeight="1" x14ac:dyDescent="0.3">
      <c r="A18" s="60" t="str">
        <f t="shared" si="0"/>
        <v>Unitil</v>
      </c>
      <c r="B18" s="66" t="s">
        <v>383</v>
      </c>
      <c r="C18" s="66" t="s">
        <v>383</v>
      </c>
      <c r="D18" s="58" t="s">
        <v>384</v>
      </c>
      <c r="E18" s="58" t="s">
        <v>385</v>
      </c>
      <c r="F18" s="58" t="s">
        <v>390</v>
      </c>
      <c r="G18" s="58" t="s">
        <v>385</v>
      </c>
      <c r="H18" s="10" t="s">
        <v>387</v>
      </c>
      <c r="I18" s="14" t="s">
        <v>453</v>
      </c>
      <c r="J18" s="128" t="s">
        <v>454</v>
      </c>
      <c r="K18" s="526">
        <v>9.5609204577802025</v>
      </c>
      <c r="L18" s="526">
        <v>0.82799999999999996</v>
      </c>
      <c r="M18" s="58">
        <v>1</v>
      </c>
      <c r="N18" s="582">
        <v>9907519.3935895041</v>
      </c>
      <c r="O18" s="527" t="s">
        <v>455</v>
      </c>
      <c r="P18" s="524">
        <v>2.016</v>
      </c>
      <c r="Q18" s="608" t="s">
        <v>448</v>
      </c>
      <c r="R18" s="528" t="s">
        <v>449</v>
      </c>
      <c r="S18" s="18">
        <v>0</v>
      </c>
      <c r="T18" s="16">
        <f t="shared" si="5"/>
        <v>0</v>
      </c>
      <c r="U18" s="128">
        <v>0</v>
      </c>
      <c r="V18" s="16">
        <f t="shared" si="5"/>
        <v>0</v>
      </c>
      <c r="W18" s="128">
        <v>0</v>
      </c>
      <c r="X18" s="16">
        <f t="shared" si="6"/>
        <v>0</v>
      </c>
      <c r="Y18" s="128">
        <v>0</v>
      </c>
      <c r="Z18" s="10">
        <f t="shared" si="1"/>
        <v>0</v>
      </c>
      <c r="AA18" s="561">
        <v>0</v>
      </c>
      <c r="AB18" s="562">
        <f t="shared" si="7"/>
        <v>0</v>
      </c>
      <c r="AC18" s="563"/>
      <c r="AD18" s="562">
        <f t="shared" si="8"/>
        <v>0</v>
      </c>
      <c r="AE18" s="563"/>
      <c r="AF18" s="562">
        <f t="shared" si="9"/>
        <v>0</v>
      </c>
      <c r="AG18" s="563"/>
      <c r="AH18" s="562"/>
      <c r="AI18" s="564">
        <f t="shared" si="10"/>
        <v>0</v>
      </c>
      <c r="AJ18" s="565">
        <f t="shared" si="11"/>
        <v>0</v>
      </c>
      <c r="AK18" s="566">
        <f t="shared" si="11"/>
        <v>0</v>
      </c>
      <c r="AL18" s="565">
        <f t="shared" si="12"/>
        <v>0</v>
      </c>
      <c r="AM18" s="565">
        <f t="shared" si="12"/>
        <v>0</v>
      </c>
      <c r="AN18" s="565">
        <f t="shared" si="13"/>
        <v>0</v>
      </c>
      <c r="AO18" s="565">
        <f t="shared" si="13"/>
        <v>0</v>
      </c>
      <c r="AP18" s="565">
        <f t="shared" si="14"/>
        <v>0</v>
      </c>
      <c r="AQ18" s="565">
        <f t="shared" si="14"/>
        <v>0</v>
      </c>
      <c r="AR18" s="492">
        <v>0</v>
      </c>
      <c r="AS18" s="493">
        <v>0</v>
      </c>
      <c r="AT18" s="493">
        <v>0</v>
      </c>
      <c r="AU18" s="493">
        <v>0</v>
      </c>
      <c r="AV18" s="493">
        <v>0</v>
      </c>
      <c r="AW18" s="493">
        <v>0</v>
      </c>
      <c r="AX18" s="493">
        <v>0</v>
      </c>
      <c r="AY18" s="494">
        <v>0</v>
      </c>
      <c r="AZ18" s="637">
        <f t="shared" si="15"/>
        <v>9907519.3935895041</v>
      </c>
      <c r="BA18" s="84" t="s">
        <v>383</v>
      </c>
      <c r="BB18" s="638">
        <f t="shared" si="16"/>
        <v>2.016</v>
      </c>
      <c r="BC18" s="22" t="s">
        <v>383</v>
      </c>
      <c r="BD18" s="639">
        <f t="shared" si="17"/>
        <v>205.03982866124974</v>
      </c>
      <c r="BE18" s="126" t="s">
        <v>383</v>
      </c>
      <c r="BF18" s="129">
        <v>3.95</v>
      </c>
      <c r="BG18" s="221" t="s">
        <v>383</v>
      </c>
      <c r="BH18" s="640">
        <f t="shared" si="18"/>
        <v>1851.7153746618785</v>
      </c>
      <c r="BI18" s="221" t="s">
        <v>383</v>
      </c>
      <c r="BJ18" s="126">
        <v>0</v>
      </c>
      <c r="BK18" s="765">
        <f>'9. Pre-Investment Baselines'!AV12-BJ18</f>
        <v>0</v>
      </c>
      <c r="BL18" s="858">
        <f t="shared" si="2"/>
        <v>0</v>
      </c>
      <c r="BM18" s="94" t="s">
        <v>387</v>
      </c>
      <c r="BN18" s="127">
        <f t="shared" si="3"/>
        <v>0</v>
      </c>
      <c r="BO18" s="511" t="s">
        <v>387</v>
      </c>
      <c r="BP18" s="514" t="s">
        <v>383</v>
      </c>
      <c r="BQ18" s="513">
        <f t="shared" si="4"/>
        <v>0</v>
      </c>
      <c r="BR18" s="767" t="s">
        <v>383</v>
      </c>
      <c r="BS18" s="768" t="s">
        <v>383</v>
      </c>
      <c r="BT18" s="488">
        <v>0</v>
      </c>
      <c r="BU18" s="489" t="s">
        <v>383</v>
      </c>
      <c r="BV18" s="490">
        <v>0</v>
      </c>
      <c r="BW18" s="491" t="s">
        <v>383</v>
      </c>
      <c r="BX18" s="488">
        <v>0</v>
      </c>
      <c r="BY18" s="490" t="s">
        <v>383</v>
      </c>
      <c r="BZ18" s="490">
        <v>0</v>
      </c>
      <c r="CA18" s="491" t="s">
        <v>383</v>
      </c>
      <c r="CB18" s="257" t="s">
        <v>383</v>
      </c>
      <c r="CC18" s="94" t="s">
        <v>383</v>
      </c>
      <c r="CD18" s="495" t="s">
        <v>383</v>
      </c>
      <c r="CE18" s="94" t="s">
        <v>383</v>
      </c>
      <c r="CF18" s="95" t="s">
        <v>383</v>
      </c>
      <c r="CG18" s="52"/>
    </row>
    <row r="19" spans="1:85" ht="30" customHeight="1" thickBot="1" x14ac:dyDescent="0.35">
      <c r="A19" s="60" t="str">
        <f>$E$1</f>
        <v>Unitil</v>
      </c>
      <c r="B19" s="66" t="s">
        <v>383</v>
      </c>
      <c r="C19" s="66" t="s">
        <v>383</v>
      </c>
      <c r="D19" s="58" t="s">
        <v>384</v>
      </c>
      <c r="E19" s="58" t="s">
        <v>385</v>
      </c>
      <c r="F19" s="496"/>
      <c r="G19" s="496"/>
      <c r="H19" s="497"/>
      <c r="I19" s="529"/>
      <c r="J19" s="496"/>
      <c r="K19" s="496" t="s">
        <v>456</v>
      </c>
      <c r="L19" s="496"/>
      <c r="M19" s="496">
        <f>SUM(M15:M18)</f>
        <v>4266</v>
      </c>
      <c r="N19" s="583">
        <f>SUM(N15:N18)</f>
        <v>39928166.320381127</v>
      </c>
      <c r="O19" s="530"/>
      <c r="P19" s="568">
        <f>SUM(P15:P18)</f>
        <v>12.03</v>
      </c>
      <c r="Q19" s="609"/>
      <c r="R19" s="531"/>
      <c r="S19" s="569"/>
      <c r="T19" s="569"/>
      <c r="U19" s="569"/>
      <c r="V19" s="569"/>
      <c r="W19" s="569"/>
      <c r="X19" s="569"/>
      <c r="Y19" s="569"/>
      <c r="Z19" s="569"/>
      <c r="AA19" s="569"/>
      <c r="AB19" s="569"/>
      <c r="AC19" s="569"/>
      <c r="AD19" s="569"/>
      <c r="AE19" s="569"/>
      <c r="AF19" s="569"/>
      <c r="AG19" s="569"/>
      <c r="AH19" s="569"/>
      <c r="AI19" s="569"/>
      <c r="AJ19" s="569"/>
      <c r="AK19" s="497"/>
      <c r="AL19" s="569"/>
      <c r="AM19" s="497"/>
      <c r="AN19" s="569"/>
      <c r="AO19" s="497"/>
      <c r="AP19" s="569"/>
      <c r="AQ19" s="497"/>
      <c r="AR19" s="492">
        <v>0</v>
      </c>
      <c r="AS19" s="493">
        <v>0</v>
      </c>
      <c r="AT19" s="493">
        <v>0</v>
      </c>
      <c r="AU19" s="493">
        <v>0</v>
      </c>
      <c r="AV19" s="493">
        <v>0</v>
      </c>
      <c r="AW19" s="493">
        <v>0</v>
      </c>
      <c r="AX19" s="493">
        <v>0</v>
      </c>
      <c r="AY19" s="494">
        <v>0</v>
      </c>
      <c r="AZ19" s="637">
        <f t="shared" si="15"/>
        <v>39928166.320381127</v>
      </c>
      <c r="BA19" s="84" t="s">
        <v>383</v>
      </c>
      <c r="BB19" s="638">
        <f t="shared" si="16"/>
        <v>12.03</v>
      </c>
      <c r="BC19" s="22" t="s">
        <v>383</v>
      </c>
      <c r="BD19" s="639">
        <f t="shared" si="17"/>
        <v>1223.5263585291839</v>
      </c>
      <c r="BE19" s="126" t="s">
        <v>383</v>
      </c>
      <c r="BF19" s="129">
        <v>4.95</v>
      </c>
      <c r="BG19" s="221" t="s">
        <v>383</v>
      </c>
      <c r="BH19" s="640">
        <f t="shared" si="18"/>
        <v>7462.5742852792328</v>
      </c>
      <c r="BI19" s="221" t="s">
        <v>383</v>
      </c>
      <c r="BJ19" s="126"/>
      <c r="BK19" s="765">
        <f>'9. Pre-Investment Baselines'!AV13-BJ19</f>
        <v>0</v>
      </c>
      <c r="BL19" s="858">
        <f t="shared" si="2"/>
        <v>0</v>
      </c>
      <c r="BM19" s="94" t="s">
        <v>387</v>
      </c>
      <c r="BN19" s="127">
        <f t="shared" si="3"/>
        <v>0</v>
      </c>
      <c r="BO19" s="515"/>
      <c r="BP19" s="516"/>
      <c r="BQ19" s="517"/>
      <c r="BR19" s="767" t="s">
        <v>383</v>
      </c>
      <c r="BS19" s="768" t="s">
        <v>383</v>
      </c>
      <c r="BT19" s="488"/>
      <c r="BU19" s="489"/>
      <c r="BV19" s="490"/>
      <c r="BW19" s="491"/>
      <c r="BX19" s="488"/>
      <c r="BY19" s="490"/>
      <c r="BZ19" s="490"/>
      <c r="CA19" s="491"/>
      <c r="CB19" s="257" t="s">
        <v>383</v>
      </c>
      <c r="CC19" s="94" t="s">
        <v>383</v>
      </c>
      <c r="CD19" s="495" t="s">
        <v>383</v>
      </c>
      <c r="CE19" s="94" t="s">
        <v>383</v>
      </c>
      <c r="CF19" s="95" t="s">
        <v>383</v>
      </c>
      <c r="CG19" s="52"/>
    </row>
    <row r="20" spans="1:85" ht="30" customHeight="1" thickBot="1" x14ac:dyDescent="0.35">
      <c r="A20" s="60" t="str">
        <f t="shared" si="0"/>
        <v>Unitil</v>
      </c>
      <c r="B20" s="66" t="s">
        <v>383</v>
      </c>
      <c r="C20" s="66" t="s">
        <v>383</v>
      </c>
      <c r="D20" s="58" t="s">
        <v>391</v>
      </c>
      <c r="E20" s="58" t="s">
        <v>385</v>
      </c>
      <c r="F20" s="58" t="s">
        <v>392</v>
      </c>
      <c r="G20" s="58" t="s">
        <v>385</v>
      </c>
      <c r="H20" s="10" t="s">
        <v>387</v>
      </c>
      <c r="I20" s="14" t="s">
        <v>453</v>
      </c>
      <c r="J20" s="128" t="s">
        <v>457</v>
      </c>
      <c r="K20" s="526">
        <v>2.0174927806562279</v>
      </c>
      <c r="L20" s="526">
        <v>3.870559593577652</v>
      </c>
      <c r="M20" s="58">
        <v>742</v>
      </c>
      <c r="N20" s="582">
        <v>4175177.7711260784</v>
      </c>
      <c r="O20" s="527" t="s">
        <v>455</v>
      </c>
      <c r="P20" s="524">
        <v>1.071</v>
      </c>
      <c r="Q20" s="608" t="s">
        <v>449</v>
      </c>
      <c r="R20" s="528" t="s">
        <v>449</v>
      </c>
      <c r="S20" s="18">
        <v>60</v>
      </c>
      <c r="T20" s="16">
        <f t="shared" si="5"/>
        <v>60</v>
      </c>
      <c r="U20" s="128">
        <v>0</v>
      </c>
      <c r="V20" s="16">
        <f t="shared" si="5"/>
        <v>0</v>
      </c>
      <c r="W20" s="128">
        <v>0</v>
      </c>
      <c r="X20" s="16">
        <f t="shared" ref="X20:X22" si="19">W20</f>
        <v>0</v>
      </c>
      <c r="Y20" s="128">
        <v>0</v>
      </c>
      <c r="Z20" s="10">
        <f t="shared" ref="Z20:Z22" si="20">Y20</f>
        <v>0</v>
      </c>
      <c r="AA20" s="561">
        <v>404</v>
      </c>
      <c r="AB20" s="562">
        <f t="shared" ref="AB20:AB22" si="21">AA20</f>
        <v>404</v>
      </c>
      <c r="AC20" s="563"/>
      <c r="AD20" s="562">
        <f t="shared" ref="AD20:AD22" si="22">AC20</f>
        <v>0</v>
      </c>
      <c r="AE20" s="563"/>
      <c r="AF20" s="562">
        <f t="shared" ref="AF20:AF22" si="23">AE20</f>
        <v>0</v>
      </c>
      <c r="AG20" s="563"/>
      <c r="AH20" s="562"/>
      <c r="AI20" s="564">
        <f t="shared" si="10"/>
        <v>0.37721755368814192</v>
      </c>
      <c r="AJ20" s="565">
        <f t="shared" ref="AJ20:AK22" si="24">AA20*0.186*8760</f>
        <v>658261.44000000006</v>
      </c>
      <c r="AK20" s="566">
        <f t="shared" si="24"/>
        <v>658261.44000000006</v>
      </c>
      <c r="AL20" s="565">
        <f t="shared" ref="AL20:AM22" si="25">AC20*8760</f>
        <v>0</v>
      </c>
      <c r="AM20" s="565">
        <f t="shared" si="25"/>
        <v>0</v>
      </c>
      <c r="AN20" s="565">
        <f t="shared" ref="AN20:AO22" si="26">AE20*0.186*8760</f>
        <v>0</v>
      </c>
      <c r="AO20" s="565">
        <f t="shared" si="26"/>
        <v>0</v>
      </c>
      <c r="AP20" s="565">
        <f t="shared" ref="AP20:AQ22" si="27">AG20*0.046*8760</f>
        <v>0</v>
      </c>
      <c r="AQ20" s="565">
        <f t="shared" si="27"/>
        <v>0</v>
      </c>
      <c r="AR20" s="492">
        <v>0</v>
      </c>
      <c r="AS20" s="493">
        <v>0</v>
      </c>
      <c r="AT20" s="493">
        <v>0</v>
      </c>
      <c r="AU20" s="493">
        <v>0</v>
      </c>
      <c r="AV20" s="493">
        <v>0</v>
      </c>
      <c r="AW20" s="493">
        <v>0</v>
      </c>
      <c r="AX20" s="493">
        <v>0</v>
      </c>
      <c r="AY20" s="494">
        <v>0</v>
      </c>
      <c r="AZ20" s="637">
        <f t="shared" si="15"/>
        <v>4175177.7711260784</v>
      </c>
      <c r="BA20" s="84" t="s">
        <v>383</v>
      </c>
      <c r="BB20" s="638">
        <f t="shared" si="16"/>
        <v>1.071</v>
      </c>
      <c r="BC20" s="22" t="s">
        <v>383</v>
      </c>
      <c r="BD20" s="639">
        <f t="shared" si="17"/>
        <v>108.92740897628894</v>
      </c>
      <c r="BE20" s="126" t="s">
        <v>383</v>
      </c>
      <c r="BF20" s="129">
        <v>5.95</v>
      </c>
      <c r="BG20" s="221" t="s">
        <v>383</v>
      </c>
      <c r="BH20" s="640">
        <f t="shared" si="18"/>
        <v>780.34072542346405</v>
      </c>
      <c r="BI20" s="221" t="s">
        <v>383</v>
      </c>
      <c r="BJ20" s="126">
        <v>1</v>
      </c>
      <c r="BK20" s="765">
        <f>'9. Pre-Investment Baselines'!AV14-BJ20</f>
        <v>-1</v>
      </c>
      <c r="BL20" s="858">
        <f t="shared" si="2"/>
        <v>0</v>
      </c>
      <c r="BM20" s="94" t="s">
        <v>387</v>
      </c>
      <c r="BN20" s="127">
        <f t="shared" si="3"/>
        <v>0</v>
      </c>
      <c r="BO20" s="511" t="s">
        <v>387</v>
      </c>
      <c r="BP20" s="514" t="s">
        <v>383</v>
      </c>
      <c r="BQ20" s="513">
        <f t="shared" ref="BQ20:BQ22" si="28">IF(BO20="Y",M20,IF(BO20="N",0))</f>
        <v>0</v>
      </c>
      <c r="BR20" s="767" t="s">
        <v>383</v>
      </c>
      <c r="BS20" s="768" t="s">
        <v>383</v>
      </c>
      <c r="BT20" s="488">
        <v>104.37</v>
      </c>
      <c r="BU20" s="489">
        <v>28.966700000000003</v>
      </c>
      <c r="BV20" s="490">
        <v>7.0000000000000007E-2</v>
      </c>
      <c r="BW20" s="491">
        <v>51.523330000000001</v>
      </c>
      <c r="BX20" s="488">
        <v>3.0920000000000001</v>
      </c>
      <c r="BY20" s="490">
        <v>-0.80200000000000005</v>
      </c>
      <c r="BZ20" s="490">
        <v>1E-3</v>
      </c>
      <c r="CA20" s="491">
        <v>1.1426667000000001</v>
      </c>
      <c r="CB20" s="257" t="s">
        <v>383</v>
      </c>
      <c r="CC20" s="94" t="s">
        <v>383</v>
      </c>
      <c r="CD20" s="495" t="s">
        <v>383</v>
      </c>
      <c r="CE20" s="94" t="s">
        <v>383</v>
      </c>
      <c r="CF20" s="95" t="s">
        <v>383</v>
      </c>
      <c r="CG20" s="52"/>
    </row>
    <row r="21" spans="1:85" ht="30" customHeight="1" thickBot="1" x14ac:dyDescent="0.35">
      <c r="A21" s="60" t="str">
        <f t="shared" si="0"/>
        <v>Unitil</v>
      </c>
      <c r="B21" s="66" t="s">
        <v>383</v>
      </c>
      <c r="C21" s="66" t="s">
        <v>383</v>
      </c>
      <c r="D21" s="58" t="s">
        <v>391</v>
      </c>
      <c r="E21" s="58" t="s">
        <v>385</v>
      </c>
      <c r="F21" s="58" t="s">
        <v>393</v>
      </c>
      <c r="G21" s="58" t="s">
        <v>385</v>
      </c>
      <c r="H21" s="10" t="s">
        <v>387</v>
      </c>
      <c r="I21" s="14" t="s">
        <v>453</v>
      </c>
      <c r="J21" s="128" t="s">
        <v>457</v>
      </c>
      <c r="K21" s="526">
        <v>2.0174927806562279</v>
      </c>
      <c r="L21" s="526">
        <v>2.6698136757026516</v>
      </c>
      <c r="M21" s="58">
        <v>375</v>
      </c>
      <c r="N21" s="582">
        <v>4217729.4823487988</v>
      </c>
      <c r="O21" s="527" t="s">
        <v>455</v>
      </c>
      <c r="P21" s="524">
        <v>0.999</v>
      </c>
      <c r="Q21" s="608" t="s">
        <v>449</v>
      </c>
      <c r="R21" s="528" t="s">
        <v>449</v>
      </c>
      <c r="S21" s="18">
        <v>23</v>
      </c>
      <c r="T21" s="16">
        <f t="shared" si="5"/>
        <v>23</v>
      </c>
      <c r="U21" s="128">
        <v>0</v>
      </c>
      <c r="V21" s="16">
        <f t="shared" si="5"/>
        <v>0</v>
      </c>
      <c r="W21" s="128">
        <v>0</v>
      </c>
      <c r="X21" s="16">
        <f t="shared" si="19"/>
        <v>0</v>
      </c>
      <c r="Y21" s="128">
        <v>0</v>
      </c>
      <c r="Z21" s="10">
        <f t="shared" si="20"/>
        <v>0</v>
      </c>
      <c r="AA21" s="561">
        <v>136</v>
      </c>
      <c r="AB21" s="562">
        <f t="shared" si="21"/>
        <v>136</v>
      </c>
      <c r="AC21" s="563"/>
      <c r="AD21" s="562">
        <f t="shared" si="22"/>
        <v>0</v>
      </c>
      <c r="AE21" s="563"/>
      <c r="AF21" s="562">
        <f t="shared" si="23"/>
        <v>0</v>
      </c>
      <c r="AG21" s="563"/>
      <c r="AH21" s="562"/>
      <c r="AI21" s="564">
        <f t="shared" si="10"/>
        <v>0.13613613613613615</v>
      </c>
      <c r="AJ21" s="565">
        <f t="shared" si="24"/>
        <v>221592.95999999999</v>
      </c>
      <c r="AK21" s="566">
        <f t="shared" si="24"/>
        <v>221592.95999999999</v>
      </c>
      <c r="AL21" s="565">
        <f t="shared" si="25"/>
        <v>0</v>
      </c>
      <c r="AM21" s="565">
        <f t="shared" si="25"/>
        <v>0</v>
      </c>
      <c r="AN21" s="565">
        <f t="shared" si="26"/>
        <v>0</v>
      </c>
      <c r="AO21" s="565">
        <f t="shared" si="26"/>
        <v>0</v>
      </c>
      <c r="AP21" s="565">
        <f t="shared" si="27"/>
        <v>0</v>
      </c>
      <c r="AQ21" s="565">
        <f t="shared" si="27"/>
        <v>0</v>
      </c>
      <c r="AR21" s="492">
        <v>0</v>
      </c>
      <c r="AS21" s="493">
        <v>0</v>
      </c>
      <c r="AT21" s="493">
        <v>0</v>
      </c>
      <c r="AU21" s="493">
        <v>0</v>
      </c>
      <c r="AV21" s="493">
        <v>0</v>
      </c>
      <c r="AW21" s="493">
        <v>0</v>
      </c>
      <c r="AX21" s="493">
        <v>0</v>
      </c>
      <c r="AY21" s="494">
        <v>0</v>
      </c>
      <c r="AZ21" s="637">
        <f t="shared" si="15"/>
        <v>4217729.4823487988</v>
      </c>
      <c r="BA21" s="84" t="s">
        <v>383</v>
      </c>
      <c r="BB21" s="638">
        <f t="shared" si="16"/>
        <v>0.999</v>
      </c>
      <c r="BC21" s="22" t="s">
        <v>383</v>
      </c>
      <c r="BD21" s="639">
        <f t="shared" si="17"/>
        <v>101.60455795267288</v>
      </c>
      <c r="BE21" s="126" t="s">
        <v>383</v>
      </c>
      <c r="BF21" s="129">
        <v>6.95</v>
      </c>
      <c r="BG21" s="221" t="s">
        <v>383</v>
      </c>
      <c r="BH21" s="640">
        <f t="shared" si="18"/>
        <v>788.29364025099062</v>
      </c>
      <c r="BI21" s="221" t="s">
        <v>383</v>
      </c>
      <c r="BJ21" s="126">
        <v>0</v>
      </c>
      <c r="BK21" s="765">
        <f>'9. Pre-Investment Baselines'!AV15-BJ21</f>
        <v>0</v>
      </c>
      <c r="BL21" s="858">
        <f t="shared" si="2"/>
        <v>0</v>
      </c>
      <c r="BM21" s="94" t="s">
        <v>387</v>
      </c>
      <c r="BN21" s="127">
        <f>IF(BM21="y",M21,0)</f>
        <v>0</v>
      </c>
      <c r="BO21" s="511" t="s">
        <v>387</v>
      </c>
      <c r="BP21" s="514" t="s">
        <v>383</v>
      </c>
      <c r="BQ21" s="513">
        <f t="shared" si="28"/>
        <v>0</v>
      </c>
      <c r="BR21" s="767" t="s">
        <v>383</v>
      </c>
      <c r="BS21" s="768" t="s">
        <v>383</v>
      </c>
      <c r="BT21" s="488">
        <v>100.35</v>
      </c>
      <c r="BU21" s="489">
        <v>32.25</v>
      </c>
      <c r="BV21" s="490">
        <v>0.97</v>
      </c>
      <c r="BW21" s="491">
        <v>60.910000000000004</v>
      </c>
      <c r="BX21" s="488">
        <v>3.0859999999999999</v>
      </c>
      <c r="BY21" s="490">
        <v>-0.98666669999999979</v>
      </c>
      <c r="BZ21" s="490">
        <v>1.9E-2</v>
      </c>
      <c r="CA21" s="491">
        <v>1.0836667000000002</v>
      </c>
      <c r="CB21" s="257" t="s">
        <v>383</v>
      </c>
      <c r="CC21" s="94" t="s">
        <v>383</v>
      </c>
      <c r="CD21" s="495" t="s">
        <v>383</v>
      </c>
      <c r="CE21" s="94" t="s">
        <v>383</v>
      </c>
      <c r="CF21" s="95" t="s">
        <v>383</v>
      </c>
      <c r="CG21" s="52"/>
    </row>
    <row r="22" spans="1:85" ht="30" customHeight="1" x14ac:dyDescent="0.3">
      <c r="A22" s="60" t="str">
        <f t="shared" si="0"/>
        <v>Unitil</v>
      </c>
      <c r="B22" s="66" t="s">
        <v>383</v>
      </c>
      <c r="C22" s="66" t="s">
        <v>383</v>
      </c>
      <c r="D22" s="58" t="s">
        <v>391</v>
      </c>
      <c r="E22" s="58" t="s">
        <v>385</v>
      </c>
      <c r="F22" s="58" t="s">
        <v>394</v>
      </c>
      <c r="G22" s="58" t="s">
        <v>385</v>
      </c>
      <c r="H22" s="10" t="s">
        <v>387</v>
      </c>
      <c r="I22" s="14" t="s">
        <v>453</v>
      </c>
      <c r="J22" s="128" t="s">
        <v>454</v>
      </c>
      <c r="K22" s="526">
        <v>13.26577713517003</v>
      </c>
      <c r="L22" s="526">
        <v>20.084255944967818</v>
      </c>
      <c r="M22" s="58">
        <v>1759</v>
      </c>
      <c r="N22" s="582">
        <v>16293140.943566766</v>
      </c>
      <c r="O22" s="527" t="s">
        <v>455</v>
      </c>
      <c r="P22" s="524">
        <v>4.024</v>
      </c>
      <c r="Q22" s="608" t="s">
        <v>449</v>
      </c>
      <c r="R22" s="528" t="s">
        <v>449</v>
      </c>
      <c r="S22" s="18">
        <v>152</v>
      </c>
      <c r="T22" s="16">
        <f t="shared" si="5"/>
        <v>152</v>
      </c>
      <c r="U22" s="128">
        <v>0</v>
      </c>
      <c r="V22" s="16">
        <f t="shared" si="5"/>
        <v>0</v>
      </c>
      <c r="W22" s="128">
        <v>0</v>
      </c>
      <c r="X22" s="16">
        <f t="shared" si="19"/>
        <v>0</v>
      </c>
      <c r="Y22" s="128">
        <v>0</v>
      </c>
      <c r="Z22" s="10">
        <f t="shared" si="20"/>
        <v>0</v>
      </c>
      <c r="AA22" s="561">
        <v>1148</v>
      </c>
      <c r="AB22" s="562">
        <f t="shared" si="21"/>
        <v>1148</v>
      </c>
      <c r="AC22" s="563"/>
      <c r="AD22" s="562">
        <f t="shared" si="22"/>
        <v>0</v>
      </c>
      <c r="AE22" s="563"/>
      <c r="AF22" s="562">
        <f t="shared" si="23"/>
        <v>0</v>
      </c>
      <c r="AG22" s="563"/>
      <c r="AH22" s="562"/>
      <c r="AI22" s="564">
        <f t="shared" si="10"/>
        <v>0.28528827037773358</v>
      </c>
      <c r="AJ22" s="565">
        <f t="shared" si="24"/>
        <v>1870505.28</v>
      </c>
      <c r="AK22" s="566">
        <f t="shared" si="24"/>
        <v>1870505.28</v>
      </c>
      <c r="AL22" s="565">
        <f t="shared" si="25"/>
        <v>0</v>
      </c>
      <c r="AM22" s="565">
        <f t="shared" si="25"/>
        <v>0</v>
      </c>
      <c r="AN22" s="565">
        <f t="shared" si="26"/>
        <v>0</v>
      </c>
      <c r="AO22" s="565">
        <f t="shared" si="26"/>
        <v>0</v>
      </c>
      <c r="AP22" s="565">
        <f t="shared" si="27"/>
        <v>0</v>
      </c>
      <c r="AQ22" s="565">
        <f t="shared" si="27"/>
        <v>0</v>
      </c>
      <c r="AR22" s="492">
        <v>0</v>
      </c>
      <c r="AS22" s="493">
        <v>0</v>
      </c>
      <c r="AT22" s="493">
        <v>0</v>
      </c>
      <c r="AU22" s="493">
        <v>0</v>
      </c>
      <c r="AV22" s="493">
        <v>0</v>
      </c>
      <c r="AW22" s="493">
        <v>0</v>
      </c>
      <c r="AX22" s="493">
        <v>0</v>
      </c>
      <c r="AY22" s="494">
        <v>0</v>
      </c>
      <c r="AZ22" s="637">
        <f t="shared" si="15"/>
        <v>16293140.943566766</v>
      </c>
      <c r="BA22" s="84" t="s">
        <v>383</v>
      </c>
      <c r="BB22" s="638">
        <f t="shared" si="16"/>
        <v>4.024</v>
      </c>
      <c r="BC22" s="22" t="s">
        <v>383</v>
      </c>
      <c r="BD22" s="639">
        <f t="shared" si="17"/>
        <v>409.26600720876445</v>
      </c>
      <c r="BE22" s="126" t="s">
        <v>383</v>
      </c>
      <c r="BF22" s="129">
        <v>7.95</v>
      </c>
      <c r="BG22" s="221" t="s">
        <v>383</v>
      </c>
      <c r="BH22" s="640">
        <f t="shared" si="18"/>
        <v>3045.1880423526291</v>
      </c>
      <c r="BI22" s="221" t="s">
        <v>383</v>
      </c>
      <c r="BJ22" s="126">
        <v>0</v>
      </c>
      <c r="BK22" s="765">
        <f>'9. Pre-Investment Baselines'!AV16-BJ22</f>
        <v>1.3333333333333333</v>
      </c>
      <c r="BL22" s="858">
        <f t="shared" si="2"/>
        <v>1.3333333333333333</v>
      </c>
      <c r="BM22" s="94" t="s">
        <v>387</v>
      </c>
      <c r="BN22" s="127">
        <f t="shared" ref="BN22:BN71" si="29">IF(BM22="y",M22,0)</f>
        <v>0</v>
      </c>
      <c r="BO22" s="511" t="s">
        <v>387</v>
      </c>
      <c r="BP22" s="514" t="s">
        <v>383</v>
      </c>
      <c r="BQ22" s="513">
        <f t="shared" si="28"/>
        <v>0</v>
      </c>
      <c r="BR22" s="767" t="s">
        <v>383</v>
      </c>
      <c r="BS22" s="768" t="s">
        <v>383</v>
      </c>
      <c r="BT22" s="488">
        <v>162.43</v>
      </c>
      <c r="BU22" s="489">
        <v>-71.693330000000003</v>
      </c>
      <c r="BV22" s="490">
        <v>64.95</v>
      </c>
      <c r="BW22" s="491">
        <v>1.8866699999999952</v>
      </c>
      <c r="BX22" s="488">
        <v>4.1959999999999997</v>
      </c>
      <c r="BY22" s="490">
        <v>-2.6703332999999998</v>
      </c>
      <c r="BZ22" s="490">
        <v>1.1950000000000001</v>
      </c>
      <c r="CA22" s="491">
        <v>-0.36666670000000001</v>
      </c>
      <c r="CB22" s="257" t="s">
        <v>383</v>
      </c>
      <c r="CC22" s="94" t="s">
        <v>383</v>
      </c>
      <c r="CD22" s="495" t="s">
        <v>383</v>
      </c>
      <c r="CE22" s="94" t="s">
        <v>383</v>
      </c>
      <c r="CF22" s="95" t="s">
        <v>383</v>
      </c>
      <c r="CG22" s="52"/>
    </row>
    <row r="23" spans="1:85" ht="30" customHeight="1" thickBot="1" x14ac:dyDescent="0.35">
      <c r="A23" s="60" t="str">
        <f t="shared" si="0"/>
        <v>Unitil</v>
      </c>
      <c r="B23" s="66" t="s">
        <v>383</v>
      </c>
      <c r="C23" s="66" t="s">
        <v>383</v>
      </c>
      <c r="D23" s="58" t="s">
        <v>391</v>
      </c>
      <c r="E23" s="58" t="s">
        <v>385</v>
      </c>
      <c r="F23" s="496"/>
      <c r="G23" s="496"/>
      <c r="H23" s="497"/>
      <c r="I23" s="529"/>
      <c r="J23" s="496"/>
      <c r="K23" s="496" t="s">
        <v>456</v>
      </c>
      <c r="L23" s="496"/>
      <c r="M23" s="496">
        <f>SUM(M20:M22)</f>
        <v>2876</v>
      </c>
      <c r="N23" s="583">
        <f>SUM(N20:N22)</f>
        <v>24686048.197041642</v>
      </c>
      <c r="O23" s="530"/>
      <c r="P23" s="496">
        <f>SUM(P20:P22)</f>
        <v>6.0939999999999994</v>
      </c>
      <c r="Q23" s="609"/>
      <c r="R23" s="531"/>
      <c r="S23" s="569"/>
      <c r="T23" s="569"/>
      <c r="U23" s="569"/>
      <c r="V23" s="569"/>
      <c r="W23" s="569"/>
      <c r="X23" s="569"/>
      <c r="Y23" s="569"/>
      <c r="Z23" s="569"/>
      <c r="AA23" s="569"/>
      <c r="AB23" s="569"/>
      <c r="AC23" s="569"/>
      <c r="AD23" s="569"/>
      <c r="AE23" s="569"/>
      <c r="AF23" s="569"/>
      <c r="AG23" s="569"/>
      <c r="AH23" s="569"/>
      <c r="AI23" s="569"/>
      <c r="AJ23" s="569"/>
      <c r="AK23" s="497"/>
      <c r="AL23" s="569"/>
      <c r="AM23" s="497"/>
      <c r="AN23" s="569"/>
      <c r="AO23" s="497"/>
      <c r="AP23" s="569"/>
      <c r="AQ23" s="497"/>
      <c r="AR23" s="492">
        <v>0</v>
      </c>
      <c r="AS23" s="493">
        <v>0</v>
      </c>
      <c r="AT23" s="493">
        <v>0</v>
      </c>
      <c r="AU23" s="493">
        <v>0</v>
      </c>
      <c r="AV23" s="493">
        <v>0</v>
      </c>
      <c r="AW23" s="493">
        <v>0</v>
      </c>
      <c r="AX23" s="493">
        <v>0</v>
      </c>
      <c r="AY23" s="494">
        <v>0</v>
      </c>
      <c r="AZ23" s="637">
        <f t="shared" si="15"/>
        <v>24686048.197041642</v>
      </c>
      <c r="BA23" s="84" t="s">
        <v>383</v>
      </c>
      <c r="BB23" s="638">
        <f t="shared" si="16"/>
        <v>6.0939999999999994</v>
      </c>
      <c r="BC23" s="22" t="s">
        <v>383</v>
      </c>
      <c r="BD23" s="639">
        <f t="shared" si="17"/>
        <v>619.7979741377261</v>
      </c>
      <c r="BE23" s="126" t="s">
        <v>383</v>
      </c>
      <c r="BF23" s="129">
        <v>8.9499999999999993</v>
      </c>
      <c r="BG23" s="221" t="s">
        <v>383</v>
      </c>
      <c r="BH23" s="640">
        <f t="shared" si="18"/>
        <v>4613.8224080270829</v>
      </c>
      <c r="BI23" s="221" t="s">
        <v>383</v>
      </c>
      <c r="BJ23" s="126"/>
      <c r="BK23" s="765">
        <f>'9. Pre-Investment Baselines'!AV17-BJ23</f>
        <v>0</v>
      </c>
      <c r="BL23" s="858">
        <f t="shared" si="2"/>
        <v>0</v>
      </c>
      <c r="BM23" s="94" t="s">
        <v>387</v>
      </c>
      <c r="BN23" s="127">
        <f t="shared" si="29"/>
        <v>0</v>
      </c>
      <c r="BO23" s="515"/>
      <c r="BP23" s="516"/>
      <c r="BQ23" s="517"/>
      <c r="BR23" s="767" t="s">
        <v>383</v>
      </c>
      <c r="BS23" s="768" t="s">
        <v>383</v>
      </c>
      <c r="BT23" s="488"/>
      <c r="BU23" s="489"/>
      <c r="BV23" s="490"/>
      <c r="BW23" s="491"/>
      <c r="BX23" s="488"/>
      <c r="BY23" s="490"/>
      <c r="BZ23" s="490"/>
      <c r="CA23" s="491"/>
      <c r="CB23" s="257" t="s">
        <v>383</v>
      </c>
      <c r="CC23" s="94" t="s">
        <v>383</v>
      </c>
      <c r="CD23" s="495" t="s">
        <v>383</v>
      </c>
      <c r="CE23" s="94" t="s">
        <v>383</v>
      </c>
      <c r="CF23" s="95" t="s">
        <v>383</v>
      </c>
      <c r="CG23" s="52"/>
    </row>
    <row r="24" spans="1:85" ht="30" customHeight="1" thickBot="1" x14ac:dyDescent="0.35">
      <c r="A24" s="60" t="str">
        <f t="shared" si="0"/>
        <v>Unitil</v>
      </c>
      <c r="B24" s="66" t="s">
        <v>383</v>
      </c>
      <c r="C24" s="66" t="s">
        <v>383</v>
      </c>
      <c r="D24" s="58" t="s">
        <v>395</v>
      </c>
      <c r="E24" s="58" t="s">
        <v>395</v>
      </c>
      <c r="F24" s="58" t="s">
        <v>396</v>
      </c>
      <c r="G24" s="58" t="s">
        <v>395</v>
      </c>
      <c r="H24" s="10" t="s">
        <v>387</v>
      </c>
      <c r="I24" s="14" t="s">
        <v>383</v>
      </c>
      <c r="J24" s="128" t="s">
        <v>383</v>
      </c>
      <c r="K24" s="526">
        <v>8.8438514234466883</v>
      </c>
      <c r="L24" s="526">
        <v>0</v>
      </c>
      <c r="M24" s="58" t="s">
        <v>383</v>
      </c>
      <c r="N24" s="584" t="s">
        <v>383</v>
      </c>
      <c r="O24" s="527" t="s">
        <v>383</v>
      </c>
      <c r="P24" s="524" t="s">
        <v>383</v>
      </c>
      <c r="Q24" s="608" t="s">
        <v>448</v>
      </c>
      <c r="R24" s="528" t="s">
        <v>448</v>
      </c>
      <c r="S24" s="18">
        <v>0</v>
      </c>
      <c r="T24" s="16">
        <f t="shared" si="5"/>
        <v>0</v>
      </c>
      <c r="U24" s="128">
        <v>0</v>
      </c>
      <c r="V24" s="16">
        <f t="shared" si="5"/>
        <v>0</v>
      </c>
      <c r="W24" s="128">
        <v>0</v>
      </c>
      <c r="X24" s="16">
        <f t="shared" ref="X24:Z39" si="30">W24</f>
        <v>0</v>
      </c>
      <c r="Y24" s="128">
        <v>1</v>
      </c>
      <c r="Z24" s="10">
        <v>0</v>
      </c>
      <c r="AA24" s="561">
        <v>0</v>
      </c>
      <c r="AB24" s="562">
        <f t="shared" ref="AB24:AB27" si="31">AA24</f>
        <v>0</v>
      </c>
      <c r="AC24" s="563"/>
      <c r="AD24" s="562">
        <f t="shared" ref="AD24:AD27" si="32">AC24</f>
        <v>0</v>
      </c>
      <c r="AE24" s="563"/>
      <c r="AF24" s="562">
        <f t="shared" ref="AF24:AF27" si="33">AE24</f>
        <v>0</v>
      </c>
      <c r="AG24" s="563">
        <v>2000</v>
      </c>
      <c r="AH24" s="562">
        <v>0</v>
      </c>
      <c r="AI24" s="564" t="e">
        <f t="shared" si="10"/>
        <v>#VALUE!</v>
      </c>
      <c r="AJ24" s="565">
        <f t="shared" ref="AJ24:AK27" si="34">AA24*0.186*8760</f>
        <v>0</v>
      </c>
      <c r="AK24" s="566">
        <f t="shared" si="34"/>
        <v>0</v>
      </c>
      <c r="AL24" s="565">
        <f t="shared" ref="AL24:AM27" si="35">AC24*8760</f>
        <v>0</v>
      </c>
      <c r="AM24" s="565">
        <f t="shared" si="35"/>
        <v>0</v>
      </c>
      <c r="AN24" s="565">
        <f t="shared" ref="AN24:AO27" si="36">AE24*0.186*8760</f>
        <v>0</v>
      </c>
      <c r="AO24" s="565">
        <f t="shared" si="36"/>
        <v>0</v>
      </c>
      <c r="AP24" s="565">
        <f t="shared" ref="AP24:AQ27" si="37">AG24*0.046*8760</f>
        <v>805920</v>
      </c>
      <c r="AQ24" s="565">
        <f t="shared" si="37"/>
        <v>0</v>
      </c>
      <c r="AR24" s="492">
        <v>0</v>
      </c>
      <c r="AS24" s="493">
        <v>0</v>
      </c>
      <c r="AT24" s="493">
        <v>0</v>
      </c>
      <c r="AU24" s="493">
        <v>0</v>
      </c>
      <c r="AV24" s="493">
        <v>0</v>
      </c>
      <c r="AW24" s="493">
        <v>0</v>
      </c>
      <c r="AX24" s="493">
        <v>0</v>
      </c>
      <c r="AY24" s="494">
        <v>0</v>
      </c>
      <c r="AZ24" s="637" t="str">
        <f t="shared" si="15"/>
        <v>N/A</v>
      </c>
      <c r="BA24" s="84" t="s">
        <v>383</v>
      </c>
      <c r="BB24" s="638" t="str">
        <f t="shared" si="16"/>
        <v>N/A</v>
      </c>
      <c r="BC24" s="22" t="s">
        <v>383</v>
      </c>
      <c r="BD24" s="639" t="e">
        <f t="shared" si="17"/>
        <v>#VALUE!</v>
      </c>
      <c r="BE24" s="126" t="s">
        <v>383</v>
      </c>
      <c r="BF24" s="129">
        <v>9.9499999999999993</v>
      </c>
      <c r="BG24" s="221" t="s">
        <v>383</v>
      </c>
      <c r="BH24" s="640" t="e">
        <f t="shared" si="18"/>
        <v>#VALUE!</v>
      </c>
      <c r="BI24" s="221" t="s">
        <v>383</v>
      </c>
      <c r="BJ24" s="126">
        <v>0</v>
      </c>
      <c r="BK24" s="765">
        <f>'9. Pre-Investment Baselines'!AV18-BJ24</f>
        <v>0</v>
      </c>
      <c r="BL24" s="858">
        <f t="shared" si="2"/>
        <v>0</v>
      </c>
      <c r="BM24" s="94" t="s">
        <v>451</v>
      </c>
      <c r="BN24" s="127" t="str">
        <f t="shared" si="29"/>
        <v>N/A</v>
      </c>
      <c r="BO24" s="518" t="s">
        <v>451</v>
      </c>
      <c r="BP24" s="519" t="s">
        <v>452</v>
      </c>
      <c r="BQ24" s="603" t="str">
        <f>IF(BO24="Y",M24,IF(BO24="N",0))</f>
        <v>N/A</v>
      </c>
      <c r="BR24" s="767" t="s">
        <v>383</v>
      </c>
      <c r="BS24" s="768" t="s">
        <v>383</v>
      </c>
      <c r="BT24" s="488" t="s">
        <v>383</v>
      </c>
      <c r="BU24" s="489" t="s">
        <v>383</v>
      </c>
      <c r="BV24" s="490" t="s">
        <v>383</v>
      </c>
      <c r="BW24" s="491" t="s">
        <v>383</v>
      </c>
      <c r="BX24" s="488" t="s">
        <v>383</v>
      </c>
      <c r="BY24" s="490" t="s">
        <v>383</v>
      </c>
      <c r="BZ24" s="490" t="s">
        <v>383</v>
      </c>
      <c r="CA24" s="491" t="s">
        <v>383</v>
      </c>
      <c r="CB24" s="257" t="s">
        <v>383</v>
      </c>
      <c r="CC24" s="94" t="s">
        <v>383</v>
      </c>
      <c r="CD24" s="495" t="s">
        <v>383</v>
      </c>
      <c r="CE24" s="94" t="s">
        <v>383</v>
      </c>
      <c r="CF24" s="95" t="s">
        <v>383</v>
      </c>
      <c r="CG24" s="52"/>
    </row>
    <row r="25" spans="1:85" ht="30" customHeight="1" thickBot="1" x14ac:dyDescent="0.35">
      <c r="A25" s="60" t="str">
        <f t="shared" si="0"/>
        <v>Unitil</v>
      </c>
      <c r="B25" s="66" t="s">
        <v>383</v>
      </c>
      <c r="C25" s="66" t="s">
        <v>383</v>
      </c>
      <c r="D25" s="58" t="s">
        <v>395</v>
      </c>
      <c r="E25" s="58" t="s">
        <v>395</v>
      </c>
      <c r="F25" s="58" t="s">
        <v>397</v>
      </c>
      <c r="G25" s="58" t="s">
        <v>395</v>
      </c>
      <c r="H25" s="10" t="s">
        <v>387</v>
      </c>
      <c r="I25" s="14" t="s">
        <v>453</v>
      </c>
      <c r="J25" s="128" t="s">
        <v>454</v>
      </c>
      <c r="K25" s="526">
        <v>8.8438514234466883</v>
      </c>
      <c r="L25" s="526">
        <v>0.16020538738825757</v>
      </c>
      <c r="M25" s="58">
        <v>1</v>
      </c>
      <c r="N25" s="582">
        <v>19216793.875342239</v>
      </c>
      <c r="O25" s="527" t="s">
        <v>455</v>
      </c>
      <c r="P25" s="524">
        <v>3.92</v>
      </c>
      <c r="Q25" s="608" t="s">
        <v>448</v>
      </c>
      <c r="R25" s="528" t="s">
        <v>448</v>
      </c>
      <c r="S25" s="18">
        <v>0</v>
      </c>
      <c r="T25" s="16">
        <f t="shared" si="5"/>
        <v>0</v>
      </c>
      <c r="U25" s="128">
        <v>0</v>
      </c>
      <c r="V25" s="16">
        <f t="shared" si="5"/>
        <v>0</v>
      </c>
      <c r="W25" s="128">
        <v>0</v>
      </c>
      <c r="X25" s="16">
        <f t="shared" si="30"/>
        <v>0</v>
      </c>
      <c r="Y25" s="18">
        <v>0</v>
      </c>
      <c r="Z25" s="10">
        <f t="shared" si="30"/>
        <v>0</v>
      </c>
      <c r="AA25" s="561">
        <v>0</v>
      </c>
      <c r="AB25" s="562">
        <f t="shared" si="31"/>
        <v>0</v>
      </c>
      <c r="AC25" s="563"/>
      <c r="AD25" s="562">
        <f t="shared" si="32"/>
        <v>0</v>
      </c>
      <c r="AE25" s="563"/>
      <c r="AF25" s="562">
        <f t="shared" si="33"/>
        <v>0</v>
      </c>
      <c r="AG25" s="563"/>
      <c r="AH25" s="562"/>
      <c r="AI25" s="564">
        <f t="shared" si="10"/>
        <v>0</v>
      </c>
      <c r="AJ25" s="565">
        <f t="shared" si="34"/>
        <v>0</v>
      </c>
      <c r="AK25" s="566">
        <f t="shared" si="34"/>
        <v>0</v>
      </c>
      <c r="AL25" s="565">
        <f t="shared" si="35"/>
        <v>0</v>
      </c>
      <c r="AM25" s="565">
        <f t="shared" si="35"/>
        <v>0</v>
      </c>
      <c r="AN25" s="565">
        <f t="shared" si="36"/>
        <v>0</v>
      </c>
      <c r="AO25" s="565">
        <f t="shared" si="36"/>
        <v>0</v>
      </c>
      <c r="AP25" s="565">
        <f t="shared" si="37"/>
        <v>0</v>
      </c>
      <c r="AQ25" s="565">
        <f t="shared" si="37"/>
        <v>0</v>
      </c>
      <c r="AR25" s="492">
        <v>0</v>
      </c>
      <c r="AS25" s="493">
        <v>0</v>
      </c>
      <c r="AT25" s="493">
        <v>0</v>
      </c>
      <c r="AU25" s="493">
        <v>0</v>
      </c>
      <c r="AV25" s="493">
        <v>0</v>
      </c>
      <c r="AW25" s="493">
        <v>0</v>
      </c>
      <c r="AX25" s="493">
        <v>0</v>
      </c>
      <c r="AY25" s="494">
        <v>0</v>
      </c>
      <c r="AZ25" s="637">
        <f t="shared" si="15"/>
        <v>19216793.875342239</v>
      </c>
      <c r="BA25" s="84" t="s">
        <v>383</v>
      </c>
      <c r="BB25" s="638">
        <f t="shared" si="16"/>
        <v>3.92</v>
      </c>
      <c r="BC25" s="22" t="s">
        <v>383</v>
      </c>
      <c r="BD25" s="639">
        <f t="shared" si="17"/>
        <v>398.6885557302079</v>
      </c>
      <c r="BE25" s="126" t="s">
        <v>383</v>
      </c>
      <c r="BF25" s="129">
        <v>10.95</v>
      </c>
      <c r="BG25" s="221" t="s">
        <v>383</v>
      </c>
      <c r="BH25" s="640">
        <f t="shared" si="18"/>
        <v>3591.6187753014647</v>
      </c>
      <c r="BI25" s="221" t="s">
        <v>383</v>
      </c>
      <c r="BJ25" s="126">
        <v>0</v>
      </c>
      <c r="BK25" s="765">
        <f>'9. Pre-Investment Baselines'!AV19-BJ25</f>
        <v>0</v>
      </c>
      <c r="BL25" s="858">
        <f t="shared" si="2"/>
        <v>0</v>
      </c>
      <c r="BM25" s="94" t="s">
        <v>451</v>
      </c>
      <c r="BN25" s="127">
        <f t="shared" si="29"/>
        <v>1</v>
      </c>
      <c r="BO25" s="518" t="s">
        <v>451</v>
      </c>
      <c r="BP25" s="519" t="s">
        <v>452</v>
      </c>
      <c r="BQ25" s="603">
        <f t="shared" ref="BQ25:BQ70" si="38">IF(BO25="Y",M25,IF(BO25="N",0))</f>
        <v>1</v>
      </c>
      <c r="BR25" s="767" t="s">
        <v>383</v>
      </c>
      <c r="BS25" s="768" t="s">
        <v>383</v>
      </c>
      <c r="BT25" s="488">
        <v>0</v>
      </c>
      <c r="BU25" s="489">
        <v>90.91</v>
      </c>
      <c r="BV25" s="490">
        <v>0</v>
      </c>
      <c r="BW25" s="491">
        <v>0</v>
      </c>
      <c r="BX25" s="488">
        <v>0</v>
      </c>
      <c r="BY25" s="490">
        <v>1</v>
      </c>
      <c r="BZ25" s="490">
        <v>0</v>
      </c>
      <c r="CA25" s="491">
        <v>0</v>
      </c>
      <c r="CB25" s="257" t="s">
        <v>383</v>
      </c>
      <c r="CC25" s="94" t="s">
        <v>383</v>
      </c>
      <c r="CD25" s="495" t="s">
        <v>383</v>
      </c>
      <c r="CE25" s="94" t="s">
        <v>383</v>
      </c>
      <c r="CF25" s="95" t="s">
        <v>383</v>
      </c>
      <c r="CG25" s="52"/>
    </row>
    <row r="26" spans="1:85" ht="30" customHeight="1" thickBot="1" x14ac:dyDescent="0.35">
      <c r="A26" s="60" t="str">
        <f t="shared" si="0"/>
        <v>Unitil</v>
      </c>
      <c r="B26" s="66" t="s">
        <v>383</v>
      </c>
      <c r="C26" s="66" t="s">
        <v>383</v>
      </c>
      <c r="D26" s="58" t="s">
        <v>395</v>
      </c>
      <c r="E26" s="58" t="s">
        <v>395</v>
      </c>
      <c r="F26" s="58" t="s">
        <v>398</v>
      </c>
      <c r="G26" s="58" t="s">
        <v>399</v>
      </c>
      <c r="H26" s="10" t="s">
        <v>387</v>
      </c>
      <c r="I26" s="14" t="s">
        <v>453</v>
      </c>
      <c r="J26" s="128" t="s">
        <v>454</v>
      </c>
      <c r="K26" s="526">
        <v>8.8438514234466883</v>
      </c>
      <c r="L26" s="526">
        <v>42.38164610675571</v>
      </c>
      <c r="M26" s="58">
        <v>1535</v>
      </c>
      <c r="N26" s="582">
        <v>20303224.197494153</v>
      </c>
      <c r="O26" s="527" t="s">
        <v>455</v>
      </c>
      <c r="P26" s="524">
        <v>5.202</v>
      </c>
      <c r="Q26" s="608" t="s">
        <v>448</v>
      </c>
      <c r="R26" s="528" t="s">
        <v>448</v>
      </c>
      <c r="S26" s="18">
        <v>193</v>
      </c>
      <c r="T26" s="16">
        <f t="shared" si="5"/>
        <v>193</v>
      </c>
      <c r="U26" s="128">
        <v>0</v>
      </c>
      <c r="V26" s="16">
        <f t="shared" si="5"/>
        <v>0</v>
      </c>
      <c r="W26" s="128">
        <v>2</v>
      </c>
      <c r="X26" s="16">
        <f t="shared" si="30"/>
        <v>2</v>
      </c>
      <c r="Y26" s="18">
        <v>0</v>
      </c>
      <c r="Z26" s="10">
        <f t="shared" si="30"/>
        <v>0</v>
      </c>
      <c r="AA26" s="561">
        <v>1823</v>
      </c>
      <c r="AB26" s="562">
        <f t="shared" si="31"/>
        <v>1823</v>
      </c>
      <c r="AC26" s="563"/>
      <c r="AD26" s="562">
        <f t="shared" si="32"/>
        <v>0</v>
      </c>
      <c r="AE26" s="563">
        <v>11.4</v>
      </c>
      <c r="AF26" s="562">
        <f t="shared" si="33"/>
        <v>11.4</v>
      </c>
      <c r="AG26" s="563"/>
      <c r="AH26" s="562"/>
      <c r="AI26" s="564">
        <f t="shared" si="10"/>
        <v>0.35263360246059211</v>
      </c>
      <c r="AJ26" s="565">
        <f t="shared" si="34"/>
        <v>2970323.28</v>
      </c>
      <c r="AK26" s="566">
        <f t="shared" si="34"/>
        <v>2970323.28</v>
      </c>
      <c r="AL26" s="565">
        <f t="shared" si="35"/>
        <v>0</v>
      </c>
      <c r="AM26" s="565">
        <f t="shared" si="35"/>
        <v>0</v>
      </c>
      <c r="AN26" s="565">
        <f t="shared" si="36"/>
        <v>18574.704000000002</v>
      </c>
      <c r="AO26" s="565">
        <f t="shared" si="36"/>
        <v>18574.704000000002</v>
      </c>
      <c r="AP26" s="565">
        <f t="shared" si="37"/>
        <v>0</v>
      </c>
      <c r="AQ26" s="565">
        <f t="shared" si="37"/>
        <v>0</v>
      </c>
      <c r="AR26" s="492">
        <v>0</v>
      </c>
      <c r="AS26" s="493">
        <v>0</v>
      </c>
      <c r="AT26" s="493">
        <v>0</v>
      </c>
      <c r="AU26" s="493">
        <v>0</v>
      </c>
      <c r="AV26" s="493">
        <v>0</v>
      </c>
      <c r="AW26" s="493">
        <v>0</v>
      </c>
      <c r="AX26" s="493">
        <v>0</v>
      </c>
      <c r="AY26" s="494">
        <v>0</v>
      </c>
      <c r="AZ26" s="637">
        <f t="shared" si="15"/>
        <v>20303224.197494153</v>
      </c>
      <c r="BA26" s="84" t="s">
        <v>383</v>
      </c>
      <c r="BB26" s="638">
        <f t="shared" si="16"/>
        <v>5.202</v>
      </c>
      <c r="BC26" s="22" t="s">
        <v>383</v>
      </c>
      <c r="BD26" s="639">
        <f t="shared" si="17"/>
        <v>529.07598645626058</v>
      </c>
      <c r="BE26" s="126" t="s">
        <v>383</v>
      </c>
      <c r="BF26" s="129">
        <v>11.95</v>
      </c>
      <c r="BG26" s="221" t="s">
        <v>383</v>
      </c>
      <c r="BH26" s="640">
        <f t="shared" si="18"/>
        <v>3794.6726025116577</v>
      </c>
      <c r="BI26" s="221" t="s">
        <v>383</v>
      </c>
      <c r="BJ26" s="126">
        <v>3</v>
      </c>
      <c r="BK26" s="765">
        <f>'9. Pre-Investment Baselines'!AV20-BJ26</f>
        <v>-2</v>
      </c>
      <c r="BL26" s="858">
        <f t="shared" si="2"/>
        <v>1</v>
      </c>
      <c r="BM26" s="94" t="s">
        <v>451</v>
      </c>
      <c r="BN26" s="127">
        <f t="shared" si="29"/>
        <v>1535</v>
      </c>
      <c r="BO26" s="518" t="s">
        <v>451</v>
      </c>
      <c r="BP26" s="519" t="s">
        <v>452</v>
      </c>
      <c r="BQ26" s="603">
        <f t="shared" si="38"/>
        <v>1535</v>
      </c>
      <c r="BR26" s="767" t="s">
        <v>383</v>
      </c>
      <c r="BS26" s="768" t="s">
        <v>383</v>
      </c>
      <c r="BT26" s="488">
        <v>151</v>
      </c>
      <c r="BU26" s="489">
        <v>95.833300000000008</v>
      </c>
      <c r="BV26" s="490">
        <v>151</v>
      </c>
      <c r="BW26" s="491">
        <v>-63.863330000000005</v>
      </c>
      <c r="BX26" s="488">
        <v>1.089</v>
      </c>
      <c r="BY26" s="490">
        <v>1.6386666999999999</v>
      </c>
      <c r="BZ26" s="490">
        <v>1.089</v>
      </c>
      <c r="CA26" s="491">
        <v>0.22833330000000007</v>
      </c>
      <c r="CB26" s="257" t="s">
        <v>383</v>
      </c>
      <c r="CC26" s="94" t="s">
        <v>383</v>
      </c>
      <c r="CD26" s="495" t="s">
        <v>383</v>
      </c>
      <c r="CE26" s="94" t="s">
        <v>383</v>
      </c>
      <c r="CF26" s="95" t="s">
        <v>383</v>
      </c>
      <c r="CG26" s="52"/>
    </row>
    <row r="27" spans="1:85" ht="30" customHeight="1" x14ac:dyDescent="0.3">
      <c r="A27" s="60" t="str">
        <f t="shared" si="0"/>
        <v>Unitil</v>
      </c>
      <c r="B27" s="66" t="s">
        <v>383</v>
      </c>
      <c r="C27" s="66" t="s">
        <v>383</v>
      </c>
      <c r="D27" s="58" t="s">
        <v>395</v>
      </c>
      <c r="E27" s="58" t="s">
        <v>395</v>
      </c>
      <c r="F27" s="58" t="s">
        <v>400</v>
      </c>
      <c r="G27" s="58" t="s">
        <v>395</v>
      </c>
      <c r="H27" s="10" t="s">
        <v>387</v>
      </c>
      <c r="I27" s="14" t="s">
        <v>453</v>
      </c>
      <c r="J27" s="128" t="s">
        <v>454</v>
      </c>
      <c r="K27" s="526">
        <v>8.8438514234466883</v>
      </c>
      <c r="L27" s="526">
        <v>11.455256916251896</v>
      </c>
      <c r="M27" s="58">
        <v>574</v>
      </c>
      <c r="N27" s="582">
        <v>6363778.1834026575</v>
      </c>
      <c r="O27" s="527" t="s">
        <v>455</v>
      </c>
      <c r="P27" s="524">
        <v>1.484</v>
      </c>
      <c r="Q27" s="608" t="s">
        <v>448</v>
      </c>
      <c r="R27" s="528" t="s">
        <v>448</v>
      </c>
      <c r="S27" s="18">
        <v>76</v>
      </c>
      <c r="T27" s="16">
        <f t="shared" si="5"/>
        <v>76</v>
      </c>
      <c r="U27" s="128">
        <v>0</v>
      </c>
      <c r="V27" s="16">
        <f t="shared" si="5"/>
        <v>0</v>
      </c>
      <c r="W27" s="128">
        <v>0</v>
      </c>
      <c r="X27" s="16">
        <f t="shared" si="30"/>
        <v>0</v>
      </c>
      <c r="Y27" s="18">
        <v>0</v>
      </c>
      <c r="Z27" s="10">
        <f t="shared" si="30"/>
        <v>0</v>
      </c>
      <c r="AA27" s="561">
        <v>528</v>
      </c>
      <c r="AB27" s="562">
        <f t="shared" si="31"/>
        <v>528</v>
      </c>
      <c r="AC27" s="563"/>
      <c r="AD27" s="562">
        <f t="shared" si="32"/>
        <v>0</v>
      </c>
      <c r="AE27" s="563"/>
      <c r="AF27" s="562">
        <f t="shared" si="33"/>
        <v>0</v>
      </c>
      <c r="AG27" s="563"/>
      <c r="AH27" s="562"/>
      <c r="AI27" s="564">
        <f t="shared" si="10"/>
        <v>0.35579514824797842</v>
      </c>
      <c r="AJ27" s="565">
        <f t="shared" si="34"/>
        <v>860302.08</v>
      </c>
      <c r="AK27" s="566">
        <f t="shared" si="34"/>
        <v>860302.08</v>
      </c>
      <c r="AL27" s="565">
        <f t="shared" si="35"/>
        <v>0</v>
      </c>
      <c r="AM27" s="565">
        <f t="shared" si="35"/>
        <v>0</v>
      </c>
      <c r="AN27" s="565">
        <f t="shared" si="36"/>
        <v>0</v>
      </c>
      <c r="AO27" s="565">
        <f t="shared" si="36"/>
        <v>0</v>
      </c>
      <c r="AP27" s="565">
        <f t="shared" si="37"/>
        <v>0</v>
      </c>
      <c r="AQ27" s="565">
        <f t="shared" si="37"/>
        <v>0</v>
      </c>
      <c r="AR27" s="492">
        <v>0</v>
      </c>
      <c r="AS27" s="493">
        <v>0</v>
      </c>
      <c r="AT27" s="493">
        <v>0</v>
      </c>
      <c r="AU27" s="493">
        <v>0</v>
      </c>
      <c r="AV27" s="493">
        <v>0</v>
      </c>
      <c r="AW27" s="493">
        <v>0</v>
      </c>
      <c r="AX27" s="493">
        <v>0</v>
      </c>
      <c r="AY27" s="494">
        <v>0</v>
      </c>
      <c r="AZ27" s="637">
        <f t="shared" si="15"/>
        <v>6363778.1834026575</v>
      </c>
      <c r="BA27" s="84" t="s">
        <v>383</v>
      </c>
      <c r="BB27" s="638">
        <f t="shared" si="16"/>
        <v>1.484</v>
      </c>
      <c r="BC27" s="22" t="s">
        <v>383</v>
      </c>
      <c r="BD27" s="639">
        <f t="shared" si="17"/>
        <v>150.93209609786442</v>
      </c>
      <c r="BE27" s="126" t="s">
        <v>383</v>
      </c>
      <c r="BF27" s="129">
        <v>12.95</v>
      </c>
      <c r="BG27" s="221" t="s">
        <v>383</v>
      </c>
      <c r="BH27" s="640">
        <f t="shared" si="18"/>
        <v>1189.3901424779567</v>
      </c>
      <c r="BI27" s="221" t="s">
        <v>383</v>
      </c>
      <c r="BJ27" s="126">
        <v>0</v>
      </c>
      <c r="BK27" s="765">
        <f>'9. Pre-Investment Baselines'!AV21-BJ27</f>
        <v>0.33333333333333331</v>
      </c>
      <c r="BL27" s="858">
        <f t="shared" si="2"/>
        <v>0.33333333333333331</v>
      </c>
      <c r="BM27" s="94" t="s">
        <v>451</v>
      </c>
      <c r="BN27" s="127">
        <f t="shared" si="29"/>
        <v>574</v>
      </c>
      <c r="BO27" s="518" t="s">
        <v>451</v>
      </c>
      <c r="BP27" s="519" t="s">
        <v>452</v>
      </c>
      <c r="BQ27" s="603">
        <f t="shared" si="38"/>
        <v>574</v>
      </c>
      <c r="BR27" s="767" t="s">
        <v>383</v>
      </c>
      <c r="BS27" s="768" t="s">
        <v>383</v>
      </c>
      <c r="BT27" s="488">
        <v>53.38</v>
      </c>
      <c r="BU27" s="489">
        <v>179.80670000000001</v>
      </c>
      <c r="BV27" s="490">
        <v>53.38</v>
      </c>
      <c r="BW27" s="491">
        <v>-1.0933300000000017</v>
      </c>
      <c r="BX27" s="488">
        <v>1.2390000000000001</v>
      </c>
      <c r="BY27" s="490">
        <v>0.84866670000000011</v>
      </c>
      <c r="BZ27" s="490">
        <v>1.2390000000000001</v>
      </c>
      <c r="CA27" s="491">
        <v>-0.54400000000000015</v>
      </c>
      <c r="CB27" s="257" t="s">
        <v>383</v>
      </c>
      <c r="CC27" s="94" t="s">
        <v>383</v>
      </c>
      <c r="CD27" s="495" t="s">
        <v>383</v>
      </c>
      <c r="CE27" s="94" t="s">
        <v>383</v>
      </c>
      <c r="CF27" s="95" t="s">
        <v>383</v>
      </c>
      <c r="CG27" s="52"/>
    </row>
    <row r="28" spans="1:85" ht="30" customHeight="1" thickBot="1" x14ac:dyDescent="0.35">
      <c r="A28" s="60" t="str">
        <f t="shared" si="0"/>
        <v>Unitil</v>
      </c>
      <c r="B28" s="66" t="s">
        <v>383</v>
      </c>
      <c r="C28" s="66" t="s">
        <v>383</v>
      </c>
      <c r="D28" s="58" t="s">
        <v>395</v>
      </c>
      <c r="E28" s="58" t="s">
        <v>395</v>
      </c>
      <c r="F28" s="496"/>
      <c r="G28" s="496"/>
      <c r="H28" s="497"/>
      <c r="I28" s="529"/>
      <c r="J28" s="496"/>
      <c r="K28" s="496" t="s">
        <v>456</v>
      </c>
      <c r="L28" s="496"/>
      <c r="M28" s="496">
        <f>SUM(M25:M27)</f>
        <v>2110</v>
      </c>
      <c r="N28" s="583">
        <f>SUM(N25:N27)</f>
        <v>45883796.256239049</v>
      </c>
      <c r="O28" s="530"/>
      <c r="P28" s="496">
        <f>SUM(P25:P27)</f>
        <v>10.606</v>
      </c>
      <c r="Q28" s="609"/>
      <c r="R28" s="531"/>
      <c r="S28" s="569"/>
      <c r="T28" s="569"/>
      <c r="U28" s="569"/>
      <c r="V28" s="569"/>
      <c r="W28" s="569"/>
      <c r="X28" s="569"/>
      <c r="Y28" s="569"/>
      <c r="Z28" s="569"/>
      <c r="AA28" s="569"/>
      <c r="AB28" s="569"/>
      <c r="AC28" s="569"/>
      <c r="AD28" s="569"/>
      <c r="AE28" s="569"/>
      <c r="AF28" s="569"/>
      <c r="AG28" s="569"/>
      <c r="AH28" s="569"/>
      <c r="AI28" s="569"/>
      <c r="AJ28" s="569"/>
      <c r="AK28" s="497"/>
      <c r="AL28" s="569"/>
      <c r="AM28" s="497"/>
      <c r="AN28" s="569"/>
      <c r="AO28" s="497"/>
      <c r="AP28" s="569"/>
      <c r="AQ28" s="497"/>
      <c r="AR28" s="492">
        <v>0</v>
      </c>
      <c r="AS28" s="493">
        <v>0</v>
      </c>
      <c r="AT28" s="493">
        <v>0</v>
      </c>
      <c r="AU28" s="493">
        <v>0</v>
      </c>
      <c r="AV28" s="493">
        <v>0</v>
      </c>
      <c r="AW28" s="493">
        <v>0</v>
      </c>
      <c r="AX28" s="493">
        <v>0</v>
      </c>
      <c r="AY28" s="494">
        <v>0</v>
      </c>
      <c r="AZ28" s="637">
        <f t="shared" si="15"/>
        <v>45883796.256239049</v>
      </c>
      <c r="BA28" s="84" t="s">
        <v>383</v>
      </c>
      <c r="BB28" s="638">
        <f t="shared" si="16"/>
        <v>10.606</v>
      </c>
      <c r="BC28" s="22" t="s">
        <v>383</v>
      </c>
      <c r="BD28" s="639">
        <f t="shared" si="17"/>
        <v>1078.6966382843329</v>
      </c>
      <c r="BE28" s="126" t="s">
        <v>383</v>
      </c>
      <c r="BF28" s="129">
        <v>13.95</v>
      </c>
      <c r="BG28" s="221" t="s">
        <v>383</v>
      </c>
      <c r="BH28" s="640">
        <f t="shared" si="18"/>
        <v>8575.6815202910784</v>
      </c>
      <c r="BI28" s="221" t="s">
        <v>383</v>
      </c>
      <c r="BJ28" s="126"/>
      <c r="BK28" s="765">
        <f>'9. Pre-Investment Baselines'!AV22-BJ28</f>
        <v>0</v>
      </c>
      <c r="BL28" s="858">
        <f t="shared" si="2"/>
        <v>0</v>
      </c>
      <c r="BM28" s="94" t="s">
        <v>387</v>
      </c>
      <c r="BN28" s="127">
        <f t="shared" si="29"/>
        <v>0</v>
      </c>
      <c r="BO28" s="515"/>
      <c r="BP28" s="516"/>
      <c r="BQ28" s="517"/>
      <c r="BR28" s="767" t="s">
        <v>383</v>
      </c>
      <c r="BS28" s="768" t="s">
        <v>383</v>
      </c>
      <c r="BT28" s="488"/>
      <c r="BU28" s="489"/>
      <c r="BV28" s="490"/>
      <c r="BW28" s="491"/>
      <c r="BX28" s="488"/>
      <c r="BY28" s="490"/>
      <c r="BZ28" s="490"/>
      <c r="CA28" s="491"/>
      <c r="CB28" s="257" t="s">
        <v>383</v>
      </c>
      <c r="CC28" s="94" t="s">
        <v>383</v>
      </c>
      <c r="CD28" s="495" t="s">
        <v>383</v>
      </c>
      <c r="CE28" s="94" t="s">
        <v>383</v>
      </c>
      <c r="CF28" s="95" t="s">
        <v>383</v>
      </c>
      <c r="CG28" s="52"/>
    </row>
    <row r="29" spans="1:85" ht="30" customHeight="1" x14ac:dyDescent="0.3">
      <c r="A29" s="60" t="str">
        <f t="shared" si="0"/>
        <v>Unitil</v>
      </c>
      <c r="B29" s="66" t="s">
        <v>383</v>
      </c>
      <c r="C29" s="66" t="s">
        <v>383</v>
      </c>
      <c r="D29" s="58" t="s">
        <v>401</v>
      </c>
      <c r="E29" s="58" t="s">
        <v>385</v>
      </c>
      <c r="F29" s="58" t="s">
        <v>402</v>
      </c>
      <c r="G29" s="58" t="s">
        <v>385</v>
      </c>
      <c r="H29" s="10" t="s">
        <v>387</v>
      </c>
      <c r="I29" s="14" t="s">
        <v>453</v>
      </c>
      <c r="J29" s="128" t="s">
        <v>454</v>
      </c>
      <c r="K29" s="526">
        <v>11.320129822011761</v>
      </c>
      <c r="L29" s="526">
        <v>15.651324564196978</v>
      </c>
      <c r="M29" s="58">
        <v>908</v>
      </c>
      <c r="N29" s="582">
        <v>7571089.2714877343</v>
      </c>
      <c r="O29" s="527" t="s">
        <v>455</v>
      </c>
      <c r="P29" s="524">
        <v>1.625</v>
      </c>
      <c r="Q29" s="608" t="s">
        <v>449</v>
      </c>
      <c r="R29" s="528" t="s">
        <v>449</v>
      </c>
      <c r="S29" s="18">
        <v>96</v>
      </c>
      <c r="T29" s="16">
        <f t="shared" si="5"/>
        <v>96</v>
      </c>
      <c r="U29" s="128">
        <v>0</v>
      </c>
      <c r="V29" s="16">
        <f t="shared" si="5"/>
        <v>0</v>
      </c>
      <c r="W29" s="128">
        <v>3</v>
      </c>
      <c r="X29" s="16">
        <f t="shared" ref="X29" si="39">W29</f>
        <v>3</v>
      </c>
      <c r="Y29" s="18">
        <v>0</v>
      </c>
      <c r="Z29" s="10">
        <f t="shared" si="30"/>
        <v>0</v>
      </c>
      <c r="AA29" s="561">
        <v>646</v>
      </c>
      <c r="AB29" s="562">
        <f t="shared" ref="AB29" si="40">AA29</f>
        <v>646</v>
      </c>
      <c r="AC29" s="563"/>
      <c r="AD29" s="562">
        <f t="shared" ref="AD29" si="41">AC29</f>
        <v>0</v>
      </c>
      <c r="AE29" s="563">
        <v>12</v>
      </c>
      <c r="AF29" s="562">
        <f t="shared" ref="AF29" si="42">AE29</f>
        <v>12</v>
      </c>
      <c r="AG29" s="563"/>
      <c r="AH29" s="562"/>
      <c r="AI29" s="564">
        <f t="shared" si="10"/>
        <v>0.40492307692307694</v>
      </c>
      <c r="AJ29" s="565">
        <f>AA29*0.186*8760</f>
        <v>1052566.56</v>
      </c>
      <c r="AK29" s="566">
        <f>AB29*0.186*8760</f>
        <v>1052566.56</v>
      </c>
      <c r="AL29" s="565">
        <f>AC29*8760</f>
        <v>0</v>
      </c>
      <c r="AM29" s="565">
        <f>AD29*8760</f>
        <v>0</v>
      </c>
      <c r="AN29" s="565">
        <f>AE29*0.186*8760</f>
        <v>19552.320000000003</v>
      </c>
      <c r="AO29" s="565">
        <f>AF29*0.186*8760</f>
        <v>19552.320000000003</v>
      </c>
      <c r="AP29" s="565">
        <f>AG29*0.046*8760</f>
        <v>0</v>
      </c>
      <c r="AQ29" s="565">
        <f>AH29*0.046*8760</f>
        <v>0</v>
      </c>
      <c r="AR29" s="492">
        <v>0</v>
      </c>
      <c r="AS29" s="493">
        <v>0</v>
      </c>
      <c r="AT29" s="493">
        <v>0</v>
      </c>
      <c r="AU29" s="493">
        <v>0</v>
      </c>
      <c r="AV29" s="493">
        <v>0</v>
      </c>
      <c r="AW29" s="493">
        <v>0</v>
      </c>
      <c r="AX29" s="493">
        <v>0</v>
      </c>
      <c r="AY29" s="494">
        <v>0</v>
      </c>
      <c r="AZ29" s="637">
        <f t="shared" si="15"/>
        <v>7571089.2714877343</v>
      </c>
      <c r="BA29" s="84" t="s">
        <v>383</v>
      </c>
      <c r="BB29" s="638">
        <f t="shared" si="16"/>
        <v>1.625</v>
      </c>
      <c r="BC29" s="22" t="s">
        <v>383</v>
      </c>
      <c r="BD29" s="639">
        <f t="shared" si="17"/>
        <v>165.27267935244589</v>
      </c>
      <c r="BE29" s="126" t="s">
        <v>383</v>
      </c>
      <c r="BF29" s="129">
        <v>14.95</v>
      </c>
      <c r="BG29" s="221" t="s">
        <v>383</v>
      </c>
      <c r="BH29" s="640">
        <f t="shared" si="18"/>
        <v>1415.0365848410577</v>
      </c>
      <c r="BI29" s="221" t="s">
        <v>383</v>
      </c>
      <c r="BJ29" s="126">
        <v>1</v>
      </c>
      <c r="BK29" s="765">
        <f>'9. Pre-Investment Baselines'!AV23-BJ29</f>
        <v>-1</v>
      </c>
      <c r="BL29" s="858">
        <f t="shared" si="2"/>
        <v>0</v>
      </c>
      <c r="BM29" s="94" t="s">
        <v>387</v>
      </c>
      <c r="BN29" s="127">
        <f t="shared" si="29"/>
        <v>0</v>
      </c>
      <c r="BO29" s="511" t="s">
        <v>387</v>
      </c>
      <c r="BP29" s="514" t="s">
        <v>383</v>
      </c>
      <c r="BQ29" s="513">
        <f t="shared" si="38"/>
        <v>0</v>
      </c>
      <c r="BR29" s="767" t="s">
        <v>383</v>
      </c>
      <c r="BS29" s="768" t="s">
        <v>383</v>
      </c>
      <c r="BT29" s="488">
        <v>238.13</v>
      </c>
      <c r="BU29" s="489" t="s">
        <v>383</v>
      </c>
      <c r="BV29" s="490">
        <v>236.1</v>
      </c>
      <c r="BW29" s="491" t="s">
        <v>383</v>
      </c>
      <c r="BX29" s="488">
        <v>3.0369999999999999</v>
      </c>
      <c r="BY29" s="490" t="s">
        <v>383</v>
      </c>
      <c r="BZ29" s="490">
        <v>2.992</v>
      </c>
      <c r="CA29" s="491" t="s">
        <v>383</v>
      </c>
      <c r="CB29" s="257" t="s">
        <v>383</v>
      </c>
      <c r="CC29" s="94" t="s">
        <v>383</v>
      </c>
      <c r="CD29" s="495" t="s">
        <v>383</v>
      </c>
      <c r="CE29" s="94" t="s">
        <v>383</v>
      </c>
      <c r="CF29" s="95" t="s">
        <v>383</v>
      </c>
      <c r="CG29" s="52"/>
    </row>
    <row r="30" spans="1:85" ht="30" customHeight="1" thickBot="1" x14ac:dyDescent="0.35">
      <c r="A30" s="60" t="str">
        <f t="shared" si="0"/>
        <v>Unitil</v>
      </c>
      <c r="B30" s="66" t="s">
        <v>383</v>
      </c>
      <c r="C30" s="66" t="s">
        <v>383</v>
      </c>
      <c r="D30" s="58" t="s">
        <v>401</v>
      </c>
      <c r="E30" s="58" t="s">
        <v>385</v>
      </c>
      <c r="F30" s="496"/>
      <c r="G30" s="496"/>
      <c r="H30" s="497"/>
      <c r="I30" s="529"/>
      <c r="J30" s="496"/>
      <c r="K30" s="496" t="s">
        <v>456</v>
      </c>
      <c r="L30" s="496"/>
      <c r="M30" s="496">
        <f>SUM(M29)</f>
        <v>908</v>
      </c>
      <c r="N30" s="583">
        <f>SUM(N29)</f>
        <v>7571089.2714877343</v>
      </c>
      <c r="O30" s="530"/>
      <c r="P30" s="496">
        <f>SUM(P29)</f>
        <v>1.625</v>
      </c>
      <c r="Q30" s="609"/>
      <c r="R30" s="531"/>
      <c r="S30" s="569"/>
      <c r="T30" s="569"/>
      <c r="U30" s="569"/>
      <c r="V30" s="569"/>
      <c r="W30" s="569"/>
      <c r="X30" s="569"/>
      <c r="Y30" s="569"/>
      <c r="Z30" s="569"/>
      <c r="AA30" s="569"/>
      <c r="AB30" s="569"/>
      <c r="AC30" s="569"/>
      <c r="AD30" s="569"/>
      <c r="AE30" s="569"/>
      <c r="AF30" s="569"/>
      <c r="AG30" s="569"/>
      <c r="AH30" s="569"/>
      <c r="AI30" s="569"/>
      <c r="AJ30" s="569"/>
      <c r="AK30" s="497"/>
      <c r="AL30" s="569"/>
      <c r="AM30" s="497"/>
      <c r="AN30" s="569"/>
      <c r="AO30" s="497"/>
      <c r="AP30" s="569"/>
      <c r="AQ30" s="497"/>
      <c r="AR30" s="492">
        <v>0</v>
      </c>
      <c r="AS30" s="493">
        <v>0</v>
      </c>
      <c r="AT30" s="493">
        <v>0</v>
      </c>
      <c r="AU30" s="493">
        <v>0</v>
      </c>
      <c r="AV30" s="493">
        <v>0</v>
      </c>
      <c r="AW30" s="493">
        <v>0</v>
      </c>
      <c r="AX30" s="493">
        <v>0</v>
      </c>
      <c r="AY30" s="494">
        <v>0</v>
      </c>
      <c r="AZ30" s="637">
        <f t="shared" si="15"/>
        <v>7571089.2714877343</v>
      </c>
      <c r="BA30" s="84" t="s">
        <v>383</v>
      </c>
      <c r="BB30" s="638">
        <f t="shared" si="16"/>
        <v>1.625</v>
      </c>
      <c r="BC30" s="22" t="s">
        <v>383</v>
      </c>
      <c r="BD30" s="639">
        <f t="shared" si="17"/>
        <v>165.27267935244589</v>
      </c>
      <c r="BE30" s="126" t="s">
        <v>383</v>
      </c>
      <c r="BF30" s="129">
        <v>15.95</v>
      </c>
      <c r="BG30" s="221" t="s">
        <v>383</v>
      </c>
      <c r="BH30" s="640">
        <f t="shared" si="18"/>
        <v>1415.0365848410577</v>
      </c>
      <c r="BI30" s="221" t="s">
        <v>383</v>
      </c>
      <c r="BJ30" s="126"/>
      <c r="BK30" s="765">
        <f>'9. Pre-Investment Baselines'!AV24-BJ30</f>
        <v>0</v>
      </c>
      <c r="BL30" s="858">
        <f t="shared" si="2"/>
        <v>0</v>
      </c>
      <c r="BM30" s="94" t="s">
        <v>387</v>
      </c>
      <c r="BN30" s="127">
        <f t="shared" si="29"/>
        <v>0</v>
      </c>
      <c r="BO30" s="515"/>
      <c r="BP30" s="516"/>
      <c r="BQ30" s="517"/>
      <c r="BR30" s="767" t="s">
        <v>383</v>
      </c>
      <c r="BS30" s="768" t="s">
        <v>383</v>
      </c>
      <c r="BT30" s="488"/>
      <c r="BU30" s="489"/>
      <c r="BV30" s="490"/>
      <c r="BW30" s="491"/>
      <c r="BX30" s="488"/>
      <c r="BY30" s="490"/>
      <c r="BZ30" s="490"/>
      <c r="CA30" s="491"/>
      <c r="CB30" s="257" t="s">
        <v>383</v>
      </c>
      <c r="CC30" s="94" t="s">
        <v>383</v>
      </c>
      <c r="CD30" s="495" t="s">
        <v>383</v>
      </c>
      <c r="CE30" s="94" t="s">
        <v>383</v>
      </c>
      <c r="CF30" s="95" t="s">
        <v>383</v>
      </c>
      <c r="CG30" s="52"/>
    </row>
    <row r="31" spans="1:85" ht="30" customHeight="1" x14ac:dyDescent="0.3">
      <c r="A31" s="60" t="str">
        <f t="shared" si="0"/>
        <v>Unitil</v>
      </c>
      <c r="B31" s="66" t="s">
        <v>383</v>
      </c>
      <c r="C31" s="66" t="s">
        <v>383</v>
      </c>
      <c r="D31" s="58" t="s">
        <v>403</v>
      </c>
      <c r="E31" s="58" t="s">
        <v>385</v>
      </c>
      <c r="F31" s="58">
        <v>1341</v>
      </c>
      <c r="G31" s="58" t="s">
        <v>385</v>
      </c>
      <c r="H31" s="10" t="s">
        <v>387</v>
      </c>
      <c r="I31" s="14" t="s">
        <v>453</v>
      </c>
      <c r="J31" s="128" t="s">
        <v>454</v>
      </c>
      <c r="K31" s="526">
        <v>7.6965409685130632</v>
      </c>
      <c r="L31" s="526">
        <v>2.7</v>
      </c>
      <c r="M31" s="58" t="s">
        <v>383</v>
      </c>
      <c r="N31" s="585" t="s">
        <v>383</v>
      </c>
      <c r="O31" s="527" t="s">
        <v>455</v>
      </c>
      <c r="P31" s="571" t="s">
        <v>383</v>
      </c>
      <c r="Q31" s="608" t="s">
        <v>448</v>
      </c>
      <c r="R31" s="528" t="s">
        <v>449</v>
      </c>
      <c r="S31" s="18">
        <v>0</v>
      </c>
      <c r="T31" s="16">
        <f t="shared" si="5"/>
        <v>0</v>
      </c>
      <c r="U31" s="128">
        <v>0</v>
      </c>
      <c r="V31" s="16">
        <f t="shared" si="5"/>
        <v>0</v>
      </c>
      <c r="W31" s="128">
        <v>0</v>
      </c>
      <c r="X31" s="16">
        <f t="shared" ref="X31" si="43">W31</f>
        <v>0</v>
      </c>
      <c r="Y31" s="18">
        <v>0</v>
      </c>
      <c r="Z31" s="10">
        <f t="shared" si="30"/>
        <v>0</v>
      </c>
      <c r="AA31" s="561"/>
      <c r="AB31" s="562">
        <f t="shared" ref="AB31" si="44">AA31</f>
        <v>0</v>
      </c>
      <c r="AC31" s="563"/>
      <c r="AD31" s="562">
        <f t="shared" ref="AD31" si="45">AC31</f>
        <v>0</v>
      </c>
      <c r="AE31" s="563"/>
      <c r="AF31" s="562">
        <f t="shared" ref="AF31" si="46">AE31</f>
        <v>0</v>
      </c>
      <c r="AG31" s="563"/>
      <c r="AH31" s="562"/>
      <c r="AI31" s="564">
        <f t="shared" si="10"/>
        <v>0</v>
      </c>
      <c r="AJ31" s="565">
        <f>AA31*0.186*8760</f>
        <v>0</v>
      </c>
      <c r="AK31" s="566">
        <f>AB31*0.186*8760</f>
        <v>0</v>
      </c>
      <c r="AL31" s="565">
        <f>AC31*8760</f>
        <v>0</v>
      </c>
      <c r="AM31" s="565">
        <f>AD31*8760</f>
        <v>0</v>
      </c>
      <c r="AN31" s="565">
        <f>AE31*0.186*8760</f>
        <v>0</v>
      </c>
      <c r="AO31" s="565">
        <f>AF31*0.186*8760</f>
        <v>0</v>
      </c>
      <c r="AP31" s="565">
        <f>AG31*0.046*8760</f>
        <v>0</v>
      </c>
      <c r="AQ31" s="565">
        <f>AH31*0.046*8760</f>
        <v>0</v>
      </c>
      <c r="AR31" s="492">
        <v>0</v>
      </c>
      <c r="AS31" s="493">
        <v>0</v>
      </c>
      <c r="AT31" s="493">
        <v>0</v>
      </c>
      <c r="AU31" s="493">
        <v>0</v>
      </c>
      <c r="AV31" s="493">
        <v>0</v>
      </c>
      <c r="AW31" s="493">
        <v>0</v>
      </c>
      <c r="AX31" s="493">
        <v>0</v>
      </c>
      <c r="AY31" s="494">
        <v>0</v>
      </c>
      <c r="AZ31" s="637" t="str">
        <f t="shared" si="15"/>
        <v>N/A</v>
      </c>
      <c r="BA31" s="84" t="s">
        <v>383</v>
      </c>
      <c r="BB31" s="638" t="str">
        <f t="shared" si="16"/>
        <v>N/A</v>
      </c>
      <c r="BC31" s="22" t="s">
        <v>383</v>
      </c>
      <c r="BD31" s="639" t="e">
        <f t="shared" si="17"/>
        <v>#VALUE!</v>
      </c>
      <c r="BE31" s="126" t="s">
        <v>383</v>
      </c>
      <c r="BF31" s="129">
        <v>16.95</v>
      </c>
      <c r="BG31" s="221" t="s">
        <v>383</v>
      </c>
      <c r="BH31" s="640" t="e">
        <f t="shared" si="18"/>
        <v>#VALUE!</v>
      </c>
      <c r="BI31" s="221" t="s">
        <v>383</v>
      </c>
      <c r="BJ31" s="126">
        <v>0</v>
      </c>
      <c r="BK31" s="765">
        <f>'9. Pre-Investment Baselines'!AV25-BJ31</f>
        <v>0</v>
      </c>
      <c r="BL31" s="858">
        <f t="shared" si="2"/>
        <v>0</v>
      </c>
      <c r="BM31" s="94" t="s">
        <v>387</v>
      </c>
      <c r="BN31" s="127">
        <f t="shared" si="29"/>
        <v>0</v>
      </c>
      <c r="BO31" s="511" t="s">
        <v>387</v>
      </c>
      <c r="BP31" s="514" t="s">
        <v>383</v>
      </c>
      <c r="BQ31" s="513">
        <f t="shared" si="38"/>
        <v>0</v>
      </c>
      <c r="BR31" s="767" t="s">
        <v>383</v>
      </c>
      <c r="BS31" s="768" t="s">
        <v>383</v>
      </c>
      <c r="BT31" s="488" t="s">
        <v>383</v>
      </c>
      <c r="BU31" s="489" t="s">
        <v>383</v>
      </c>
      <c r="BV31" s="490" t="s">
        <v>383</v>
      </c>
      <c r="BW31" s="491" t="s">
        <v>383</v>
      </c>
      <c r="BX31" s="488" t="s">
        <v>383</v>
      </c>
      <c r="BY31" s="490" t="s">
        <v>383</v>
      </c>
      <c r="BZ31" s="490" t="s">
        <v>383</v>
      </c>
      <c r="CA31" s="491" t="s">
        <v>383</v>
      </c>
      <c r="CB31" s="257" t="s">
        <v>383</v>
      </c>
      <c r="CC31" s="94" t="s">
        <v>383</v>
      </c>
      <c r="CD31" s="495" t="s">
        <v>383</v>
      </c>
      <c r="CE31" s="94" t="s">
        <v>383</v>
      </c>
      <c r="CF31" s="95" t="s">
        <v>383</v>
      </c>
      <c r="CG31" s="52"/>
    </row>
    <row r="32" spans="1:85" ht="30" customHeight="1" thickBot="1" x14ac:dyDescent="0.35">
      <c r="A32" s="60" t="str">
        <f t="shared" si="0"/>
        <v>Unitil</v>
      </c>
      <c r="B32" s="66" t="s">
        <v>383</v>
      </c>
      <c r="C32" s="66" t="s">
        <v>383</v>
      </c>
      <c r="D32" s="58" t="s">
        <v>403</v>
      </c>
      <c r="E32" s="58" t="s">
        <v>385</v>
      </c>
      <c r="F32" s="496"/>
      <c r="G32" s="496"/>
      <c r="H32" s="497"/>
      <c r="I32" s="529"/>
      <c r="J32" s="496"/>
      <c r="K32" s="496" t="s">
        <v>456</v>
      </c>
      <c r="L32" s="496"/>
      <c r="M32" s="496"/>
      <c r="N32" s="583"/>
      <c r="O32" s="530"/>
      <c r="P32" s="568"/>
      <c r="Q32" s="609"/>
      <c r="R32" s="531"/>
      <c r="S32" s="569"/>
      <c r="T32" s="569"/>
      <c r="U32" s="569"/>
      <c r="V32" s="569"/>
      <c r="W32" s="569"/>
      <c r="X32" s="569"/>
      <c r="Y32" s="569"/>
      <c r="Z32" s="569"/>
      <c r="AA32" s="569"/>
      <c r="AB32" s="569"/>
      <c r="AC32" s="569"/>
      <c r="AD32" s="569"/>
      <c r="AE32" s="569"/>
      <c r="AF32" s="569"/>
      <c r="AG32" s="569"/>
      <c r="AH32" s="569"/>
      <c r="AI32" s="569"/>
      <c r="AJ32" s="569"/>
      <c r="AK32" s="497"/>
      <c r="AL32" s="569"/>
      <c r="AM32" s="497"/>
      <c r="AN32" s="569"/>
      <c r="AO32" s="497"/>
      <c r="AP32" s="569"/>
      <c r="AQ32" s="497"/>
      <c r="AR32" s="492">
        <v>0</v>
      </c>
      <c r="AS32" s="493">
        <v>0</v>
      </c>
      <c r="AT32" s="493">
        <v>0</v>
      </c>
      <c r="AU32" s="493">
        <v>0</v>
      </c>
      <c r="AV32" s="493">
        <v>0</v>
      </c>
      <c r="AW32" s="493">
        <v>0</v>
      </c>
      <c r="AX32" s="493">
        <v>0</v>
      </c>
      <c r="AY32" s="494">
        <v>0</v>
      </c>
      <c r="AZ32" s="637">
        <f t="shared" si="15"/>
        <v>0</v>
      </c>
      <c r="BA32" s="84" t="s">
        <v>383</v>
      </c>
      <c r="BB32" s="638">
        <f t="shared" si="16"/>
        <v>0</v>
      </c>
      <c r="BC32" s="22" t="s">
        <v>383</v>
      </c>
      <c r="BD32" s="639">
        <f t="shared" si="17"/>
        <v>0</v>
      </c>
      <c r="BE32" s="126" t="s">
        <v>383</v>
      </c>
      <c r="BF32" s="129">
        <v>17.95</v>
      </c>
      <c r="BG32" s="221" t="s">
        <v>383</v>
      </c>
      <c r="BH32" s="640">
        <f t="shared" si="18"/>
        <v>0</v>
      </c>
      <c r="BI32" s="221" t="s">
        <v>383</v>
      </c>
      <c r="BJ32" s="126"/>
      <c r="BK32" s="765">
        <f>'9. Pre-Investment Baselines'!AV26-BJ32</f>
        <v>0</v>
      </c>
      <c r="BL32" s="858">
        <f t="shared" si="2"/>
        <v>0</v>
      </c>
      <c r="BM32" s="94" t="s">
        <v>387</v>
      </c>
      <c r="BN32" s="127">
        <f t="shared" si="29"/>
        <v>0</v>
      </c>
      <c r="BO32" s="515"/>
      <c r="BP32" s="516"/>
      <c r="BQ32" s="517"/>
      <c r="BR32" s="767" t="s">
        <v>383</v>
      </c>
      <c r="BS32" s="768" t="s">
        <v>383</v>
      </c>
      <c r="BT32" s="488"/>
      <c r="BU32" s="489"/>
      <c r="BV32" s="490"/>
      <c r="BW32" s="491"/>
      <c r="BX32" s="488"/>
      <c r="BY32" s="490"/>
      <c r="BZ32" s="490"/>
      <c r="CA32" s="491"/>
      <c r="CB32" s="257" t="s">
        <v>383</v>
      </c>
      <c r="CC32" s="94" t="s">
        <v>383</v>
      </c>
      <c r="CD32" s="495" t="s">
        <v>383</v>
      </c>
      <c r="CE32" s="94" t="s">
        <v>383</v>
      </c>
      <c r="CF32" s="95" t="s">
        <v>383</v>
      </c>
      <c r="CG32" s="52"/>
    </row>
    <row r="33" spans="1:85" ht="30" customHeight="1" thickBot="1" x14ac:dyDescent="0.35">
      <c r="A33" s="60" t="str">
        <f t="shared" si="0"/>
        <v>Unitil</v>
      </c>
      <c r="B33" s="66" t="s">
        <v>383</v>
      </c>
      <c r="C33" s="66" t="s">
        <v>383</v>
      </c>
      <c r="D33" s="58" t="s">
        <v>404</v>
      </c>
      <c r="E33" s="58" t="s">
        <v>385</v>
      </c>
      <c r="F33" s="58" t="s">
        <v>405</v>
      </c>
      <c r="G33" s="58" t="s">
        <v>385</v>
      </c>
      <c r="H33" s="10" t="s">
        <v>387</v>
      </c>
      <c r="I33" s="14" t="s">
        <v>458</v>
      </c>
      <c r="J33" s="128" t="s">
        <v>454</v>
      </c>
      <c r="K33" s="526">
        <v>9.3218974463356972</v>
      </c>
      <c r="L33" s="526">
        <v>12.359715405399619</v>
      </c>
      <c r="M33" s="58">
        <v>2095</v>
      </c>
      <c r="N33" s="585">
        <v>24722626.766765788</v>
      </c>
      <c r="O33" s="527" t="s">
        <v>455</v>
      </c>
      <c r="P33" s="524">
        <v>5.1310000000000002</v>
      </c>
      <c r="Q33" s="608" t="s">
        <v>450</v>
      </c>
      <c r="R33" s="528" t="s">
        <v>449</v>
      </c>
      <c r="S33" s="18">
        <v>72</v>
      </c>
      <c r="T33" s="16">
        <f t="shared" si="5"/>
        <v>72</v>
      </c>
      <c r="U33" s="128">
        <v>2</v>
      </c>
      <c r="V33" s="16">
        <f t="shared" si="5"/>
        <v>2</v>
      </c>
      <c r="W33" s="18">
        <v>0</v>
      </c>
      <c r="X33" s="16">
        <f t="shared" ref="X33:X41" si="47">W33</f>
        <v>0</v>
      </c>
      <c r="Y33" s="18">
        <v>0</v>
      </c>
      <c r="Z33" s="10">
        <f t="shared" si="30"/>
        <v>0</v>
      </c>
      <c r="AA33" s="561">
        <v>635</v>
      </c>
      <c r="AB33" s="562">
        <f t="shared" ref="AB33:AB38" si="48">AA33</f>
        <v>635</v>
      </c>
      <c r="AC33" s="563">
        <v>73</v>
      </c>
      <c r="AD33" s="562">
        <f t="shared" ref="AD33:AD38" si="49">AC33</f>
        <v>73</v>
      </c>
      <c r="AE33" s="563"/>
      <c r="AF33" s="562">
        <f t="shared" ref="AF33:AF38" si="50">AE33</f>
        <v>0</v>
      </c>
      <c r="AG33" s="563"/>
      <c r="AH33" s="562"/>
      <c r="AI33" s="564">
        <f t="shared" si="10"/>
        <v>0.13798479828493471</v>
      </c>
      <c r="AJ33" s="565">
        <f t="shared" ref="AJ33:AK41" si="51">AA33*0.186*8760</f>
        <v>1034643.6</v>
      </c>
      <c r="AK33" s="566">
        <f t="shared" si="51"/>
        <v>1034643.6</v>
      </c>
      <c r="AL33" s="565">
        <f t="shared" ref="AL33:AM41" si="52">AC33*8760</f>
        <v>639480</v>
      </c>
      <c r="AM33" s="565">
        <f t="shared" si="52"/>
        <v>639480</v>
      </c>
      <c r="AN33" s="565">
        <f t="shared" ref="AN33:AO41" si="53">AE33*0.186*8760</f>
        <v>0</v>
      </c>
      <c r="AO33" s="565">
        <f t="shared" si="53"/>
        <v>0</v>
      </c>
      <c r="AP33" s="565">
        <f t="shared" ref="AP33:AQ41" si="54">AG33*0.046*8760</f>
        <v>0</v>
      </c>
      <c r="AQ33" s="565">
        <f t="shared" si="54"/>
        <v>0</v>
      </c>
      <c r="AR33" s="492">
        <v>0</v>
      </c>
      <c r="AS33" s="493">
        <v>0</v>
      </c>
      <c r="AT33" s="493">
        <v>0</v>
      </c>
      <c r="AU33" s="493">
        <v>0</v>
      </c>
      <c r="AV33" s="493">
        <v>0</v>
      </c>
      <c r="AW33" s="493">
        <v>0</v>
      </c>
      <c r="AX33" s="493">
        <v>0</v>
      </c>
      <c r="AY33" s="494">
        <v>0</v>
      </c>
      <c r="AZ33" s="637">
        <f t="shared" si="15"/>
        <v>24722626.766765788</v>
      </c>
      <c r="BA33" s="84" t="s">
        <v>383</v>
      </c>
      <c r="BB33" s="638">
        <f t="shared" si="16"/>
        <v>5.1310000000000002</v>
      </c>
      <c r="BC33" s="22" t="s">
        <v>383</v>
      </c>
      <c r="BD33" s="639">
        <f t="shared" si="17"/>
        <v>521.8548416968614</v>
      </c>
      <c r="BE33" s="126" t="s">
        <v>383</v>
      </c>
      <c r="BF33" s="129">
        <v>18.95</v>
      </c>
      <c r="BG33" s="221" t="s">
        <v>383</v>
      </c>
      <c r="BH33" s="640">
        <f t="shared" si="18"/>
        <v>4620.6589427085264</v>
      </c>
      <c r="BI33" s="221" t="s">
        <v>383</v>
      </c>
      <c r="BJ33" s="126">
        <v>0</v>
      </c>
      <c r="BK33" s="765">
        <f>'9. Pre-Investment Baselines'!AV27-BJ33</f>
        <v>0</v>
      </c>
      <c r="BL33" s="858">
        <f t="shared" si="2"/>
        <v>0</v>
      </c>
      <c r="BM33" s="94" t="s">
        <v>387</v>
      </c>
      <c r="BN33" s="127">
        <f t="shared" si="29"/>
        <v>0</v>
      </c>
      <c r="BO33" s="511" t="s">
        <v>387</v>
      </c>
      <c r="BP33" s="514" t="s">
        <v>383</v>
      </c>
      <c r="BQ33" s="513">
        <f t="shared" si="38"/>
        <v>0</v>
      </c>
      <c r="BR33" s="767" t="s">
        <v>383</v>
      </c>
      <c r="BS33" s="768" t="s">
        <v>383</v>
      </c>
      <c r="BT33" s="488">
        <v>93.47</v>
      </c>
      <c r="BU33" s="489">
        <v>36.38669999999999</v>
      </c>
      <c r="BV33" s="490">
        <v>65.72</v>
      </c>
      <c r="BW33" s="491">
        <v>-10.003329999999998</v>
      </c>
      <c r="BX33" s="488">
        <v>1.4450000000000001</v>
      </c>
      <c r="BY33" s="490">
        <v>0.1593332999999999</v>
      </c>
      <c r="BZ33" s="490">
        <v>1.196</v>
      </c>
      <c r="CA33" s="491">
        <v>-0.27466669999999993</v>
      </c>
      <c r="CB33" s="257" t="s">
        <v>383</v>
      </c>
      <c r="CC33" s="94" t="s">
        <v>383</v>
      </c>
      <c r="CD33" s="495" t="s">
        <v>383</v>
      </c>
      <c r="CE33" s="94" t="s">
        <v>383</v>
      </c>
      <c r="CF33" s="95" t="s">
        <v>383</v>
      </c>
      <c r="CG33" s="52"/>
    </row>
    <row r="34" spans="1:85" ht="30" customHeight="1" thickBot="1" x14ac:dyDescent="0.35">
      <c r="A34" s="60" t="str">
        <f t="shared" si="0"/>
        <v>Unitil</v>
      </c>
      <c r="B34" s="66" t="s">
        <v>383</v>
      </c>
      <c r="C34" s="66" t="s">
        <v>383</v>
      </c>
      <c r="D34" s="58" t="s">
        <v>404</v>
      </c>
      <c r="E34" s="58" t="s">
        <v>385</v>
      </c>
      <c r="F34" s="58" t="s">
        <v>406</v>
      </c>
      <c r="G34" s="58" t="s">
        <v>385</v>
      </c>
      <c r="H34" s="10" t="s">
        <v>387</v>
      </c>
      <c r="I34" s="14" t="s">
        <v>458</v>
      </c>
      <c r="J34" s="128" t="s">
        <v>454</v>
      </c>
      <c r="K34" s="526">
        <v>3.5853451716675759</v>
      </c>
      <c r="L34" s="526">
        <v>1.1867738182594698</v>
      </c>
      <c r="M34" s="58" t="s">
        <v>459</v>
      </c>
      <c r="N34" s="585" t="s">
        <v>383</v>
      </c>
      <c r="O34" s="527" t="s">
        <v>455</v>
      </c>
      <c r="P34" s="524">
        <v>0.75700000000000001</v>
      </c>
      <c r="Q34" s="608" t="s">
        <v>450</v>
      </c>
      <c r="R34" s="528" t="s">
        <v>449</v>
      </c>
      <c r="S34" s="18">
        <v>0</v>
      </c>
      <c r="T34" s="16">
        <f t="shared" si="5"/>
        <v>0</v>
      </c>
      <c r="U34" s="18">
        <v>0</v>
      </c>
      <c r="V34" s="16">
        <f t="shared" si="5"/>
        <v>0</v>
      </c>
      <c r="W34" s="18">
        <v>0</v>
      </c>
      <c r="X34" s="16">
        <f t="shared" si="47"/>
        <v>0</v>
      </c>
      <c r="Y34" s="18">
        <v>0</v>
      </c>
      <c r="Z34" s="10">
        <f t="shared" si="30"/>
        <v>0</v>
      </c>
      <c r="AA34" s="561">
        <v>0</v>
      </c>
      <c r="AB34" s="562">
        <f t="shared" si="48"/>
        <v>0</v>
      </c>
      <c r="AC34" s="563"/>
      <c r="AD34" s="562">
        <f t="shared" si="49"/>
        <v>0</v>
      </c>
      <c r="AE34" s="563"/>
      <c r="AF34" s="562">
        <f t="shared" si="50"/>
        <v>0</v>
      </c>
      <c r="AG34" s="563"/>
      <c r="AH34" s="562"/>
      <c r="AI34" s="564">
        <f t="shared" si="10"/>
        <v>0</v>
      </c>
      <c r="AJ34" s="565">
        <f t="shared" si="51"/>
        <v>0</v>
      </c>
      <c r="AK34" s="566">
        <f t="shared" si="51"/>
        <v>0</v>
      </c>
      <c r="AL34" s="565">
        <f t="shared" si="52"/>
        <v>0</v>
      </c>
      <c r="AM34" s="565">
        <f t="shared" si="52"/>
        <v>0</v>
      </c>
      <c r="AN34" s="565">
        <f t="shared" si="53"/>
        <v>0</v>
      </c>
      <c r="AO34" s="565">
        <f t="shared" si="53"/>
        <v>0</v>
      </c>
      <c r="AP34" s="565">
        <f t="shared" si="54"/>
        <v>0</v>
      </c>
      <c r="AQ34" s="565">
        <f t="shared" si="54"/>
        <v>0</v>
      </c>
      <c r="AR34" s="492">
        <v>0</v>
      </c>
      <c r="AS34" s="493">
        <v>0</v>
      </c>
      <c r="AT34" s="493">
        <v>0</v>
      </c>
      <c r="AU34" s="493">
        <v>0</v>
      </c>
      <c r="AV34" s="493">
        <v>0</v>
      </c>
      <c r="AW34" s="493">
        <v>0</v>
      </c>
      <c r="AX34" s="493">
        <v>0</v>
      </c>
      <c r="AY34" s="494">
        <v>0</v>
      </c>
      <c r="AZ34" s="637" t="str">
        <f t="shared" si="15"/>
        <v>N/A</v>
      </c>
      <c r="BA34" s="84" t="s">
        <v>383</v>
      </c>
      <c r="BB34" s="638">
        <f t="shared" si="16"/>
        <v>0.75700000000000001</v>
      </c>
      <c r="BC34" s="22" t="s">
        <v>383</v>
      </c>
      <c r="BD34" s="639">
        <f t="shared" si="17"/>
        <v>76.991642012185565</v>
      </c>
      <c r="BE34" s="126" t="s">
        <v>383</v>
      </c>
      <c r="BF34" s="129">
        <v>19.95</v>
      </c>
      <c r="BG34" s="221" t="s">
        <v>383</v>
      </c>
      <c r="BH34" s="640" t="e">
        <f t="shared" si="18"/>
        <v>#VALUE!</v>
      </c>
      <c r="BI34" s="221" t="s">
        <v>383</v>
      </c>
      <c r="BJ34" s="126">
        <v>0</v>
      </c>
      <c r="BK34" s="765">
        <f>'9. Pre-Investment Baselines'!AV28-BJ34</f>
        <v>1.6666666666666667</v>
      </c>
      <c r="BL34" s="858">
        <f t="shared" si="2"/>
        <v>1.6666666666666667</v>
      </c>
      <c r="BM34" s="94" t="s">
        <v>387</v>
      </c>
      <c r="BN34" s="127">
        <f t="shared" si="29"/>
        <v>0</v>
      </c>
      <c r="BO34" s="511" t="s">
        <v>387</v>
      </c>
      <c r="BP34" s="514" t="s">
        <v>383</v>
      </c>
      <c r="BQ34" s="513">
        <f t="shared" si="38"/>
        <v>0</v>
      </c>
      <c r="BR34" s="767" t="s">
        <v>383</v>
      </c>
      <c r="BS34" s="768" t="s">
        <v>383</v>
      </c>
      <c r="BT34" s="488" t="s">
        <v>383</v>
      </c>
      <c r="BU34" s="489" t="s">
        <v>383</v>
      </c>
      <c r="BV34" s="490" t="s">
        <v>383</v>
      </c>
      <c r="BW34" s="491" t="s">
        <v>383</v>
      </c>
      <c r="BX34" s="488" t="s">
        <v>383</v>
      </c>
      <c r="BY34" s="490" t="s">
        <v>383</v>
      </c>
      <c r="BZ34" s="490" t="s">
        <v>383</v>
      </c>
      <c r="CA34" s="491" t="s">
        <v>383</v>
      </c>
      <c r="CB34" s="257" t="s">
        <v>383</v>
      </c>
      <c r="CC34" s="94" t="s">
        <v>383</v>
      </c>
      <c r="CD34" s="495" t="s">
        <v>383</v>
      </c>
      <c r="CE34" s="94" t="s">
        <v>383</v>
      </c>
      <c r="CF34" s="95" t="s">
        <v>383</v>
      </c>
      <c r="CG34" s="52"/>
    </row>
    <row r="35" spans="1:85" ht="30" customHeight="1" thickBot="1" x14ac:dyDescent="0.35">
      <c r="A35" s="60" t="str">
        <f t="shared" si="0"/>
        <v>Unitil</v>
      </c>
      <c r="B35" s="66" t="s">
        <v>383</v>
      </c>
      <c r="C35" s="66" t="s">
        <v>383</v>
      </c>
      <c r="D35" s="58" t="s">
        <v>404</v>
      </c>
      <c r="E35" s="58" t="s">
        <v>385</v>
      </c>
      <c r="F35" s="58" t="s">
        <v>407</v>
      </c>
      <c r="G35" s="58" t="s">
        <v>385</v>
      </c>
      <c r="H35" s="10" t="s">
        <v>387</v>
      </c>
      <c r="I35" s="14" t="s">
        <v>458</v>
      </c>
      <c r="J35" s="128" t="s">
        <v>454</v>
      </c>
      <c r="K35" s="526">
        <v>3.7048566773898282</v>
      </c>
      <c r="L35" s="526">
        <v>0.79542410053977275</v>
      </c>
      <c r="M35" s="58">
        <v>20</v>
      </c>
      <c r="N35" s="585">
        <v>3387315.4904084643</v>
      </c>
      <c r="O35" s="527" t="s">
        <v>455</v>
      </c>
      <c r="P35" s="524">
        <v>0.78900000000000003</v>
      </c>
      <c r="Q35" s="608" t="s">
        <v>450</v>
      </c>
      <c r="R35" s="528" t="s">
        <v>449</v>
      </c>
      <c r="S35" s="18">
        <v>0</v>
      </c>
      <c r="T35" s="16">
        <f t="shared" si="5"/>
        <v>0</v>
      </c>
      <c r="U35" s="18">
        <v>0</v>
      </c>
      <c r="V35" s="16">
        <f t="shared" si="5"/>
        <v>0</v>
      </c>
      <c r="W35" s="18">
        <v>0</v>
      </c>
      <c r="X35" s="16">
        <f t="shared" si="47"/>
        <v>0</v>
      </c>
      <c r="Y35" s="18">
        <v>0</v>
      </c>
      <c r="Z35" s="10">
        <f t="shared" si="30"/>
        <v>0</v>
      </c>
      <c r="AA35" s="561">
        <v>0</v>
      </c>
      <c r="AB35" s="562">
        <f t="shared" si="48"/>
        <v>0</v>
      </c>
      <c r="AC35" s="563"/>
      <c r="AD35" s="562">
        <f t="shared" si="49"/>
        <v>0</v>
      </c>
      <c r="AE35" s="563"/>
      <c r="AF35" s="562">
        <f t="shared" si="50"/>
        <v>0</v>
      </c>
      <c r="AG35" s="563"/>
      <c r="AH35" s="562"/>
      <c r="AI35" s="564">
        <f t="shared" si="10"/>
        <v>0</v>
      </c>
      <c r="AJ35" s="565">
        <f t="shared" si="51"/>
        <v>0</v>
      </c>
      <c r="AK35" s="566">
        <f t="shared" si="51"/>
        <v>0</v>
      </c>
      <c r="AL35" s="565">
        <f t="shared" si="52"/>
        <v>0</v>
      </c>
      <c r="AM35" s="565">
        <f t="shared" si="52"/>
        <v>0</v>
      </c>
      <c r="AN35" s="565">
        <f t="shared" si="53"/>
        <v>0</v>
      </c>
      <c r="AO35" s="565">
        <f t="shared" si="53"/>
        <v>0</v>
      </c>
      <c r="AP35" s="565">
        <f t="shared" si="54"/>
        <v>0</v>
      </c>
      <c r="AQ35" s="565">
        <f t="shared" si="54"/>
        <v>0</v>
      </c>
      <c r="AR35" s="492">
        <v>0</v>
      </c>
      <c r="AS35" s="493">
        <v>0</v>
      </c>
      <c r="AT35" s="493">
        <v>0</v>
      </c>
      <c r="AU35" s="493">
        <v>0</v>
      </c>
      <c r="AV35" s="493">
        <v>0</v>
      </c>
      <c r="AW35" s="493">
        <v>0</v>
      </c>
      <c r="AX35" s="493">
        <v>0</v>
      </c>
      <c r="AY35" s="494">
        <v>0</v>
      </c>
      <c r="AZ35" s="637">
        <f t="shared" si="15"/>
        <v>3387315.4904084643</v>
      </c>
      <c r="BA35" s="84" t="s">
        <v>383</v>
      </c>
      <c r="BB35" s="638">
        <f t="shared" si="16"/>
        <v>0.78900000000000003</v>
      </c>
      <c r="BC35" s="22" t="s">
        <v>383</v>
      </c>
      <c r="BD35" s="639">
        <f t="shared" si="17"/>
        <v>80.246242467126038</v>
      </c>
      <c r="BE35" s="126" t="s">
        <v>383</v>
      </c>
      <c r="BF35" s="129">
        <v>20.95</v>
      </c>
      <c r="BG35" s="221" t="s">
        <v>383</v>
      </c>
      <c r="BH35" s="640">
        <f t="shared" si="18"/>
        <v>633.08926515734208</v>
      </c>
      <c r="BI35" s="221" t="s">
        <v>383</v>
      </c>
      <c r="BJ35" s="126">
        <v>0</v>
      </c>
      <c r="BK35" s="765">
        <f>'9. Pre-Investment Baselines'!AV29-BJ35</f>
        <v>0</v>
      </c>
      <c r="BL35" s="858">
        <f t="shared" si="2"/>
        <v>0</v>
      </c>
      <c r="BM35" s="94" t="s">
        <v>387</v>
      </c>
      <c r="BN35" s="127">
        <f t="shared" si="29"/>
        <v>0</v>
      </c>
      <c r="BO35" s="511" t="s">
        <v>387</v>
      </c>
      <c r="BP35" s="514" t="s">
        <v>383</v>
      </c>
      <c r="BQ35" s="513">
        <f t="shared" si="38"/>
        <v>0</v>
      </c>
      <c r="BR35" s="767" t="s">
        <v>383</v>
      </c>
      <c r="BS35" s="768" t="s">
        <v>383</v>
      </c>
      <c r="BT35" s="488">
        <v>140.30000000000001</v>
      </c>
      <c r="BU35" s="489">
        <v>-122.50000000000001</v>
      </c>
      <c r="BV35" s="490">
        <v>140.30000000000001</v>
      </c>
      <c r="BW35" s="491">
        <v>-122.50000000000001</v>
      </c>
      <c r="BX35" s="488">
        <v>1</v>
      </c>
      <c r="BY35" s="490">
        <v>-0.66666669999999995</v>
      </c>
      <c r="BZ35" s="490">
        <v>1</v>
      </c>
      <c r="CA35" s="491">
        <v>-0.66666669999999995</v>
      </c>
      <c r="CB35" s="257" t="s">
        <v>383</v>
      </c>
      <c r="CC35" s="94" t="s">
        <v>383</v>
      </c>
      <c r="CD35" s="495" t="s">
        <v>383</v>
      </c>
      <c r="CE35" s="94" t="s">
        <v>383</v>
      </c>
      <c r="CF35" s="95" t="s">
        <v>383</v>
      </c>
      <c r="CG35" s="52"/>
    </row>
    <row r="36" spans="1:85" ht="30" customHeight="1" thickBot="1" x14ac:dyDescent="0.35">
      <c r="A36" s="60" t="str">
        <f t="shared" si="0"/>
        <v>Unitil</v>
      </c>
      <c r="B36" s="66" t="s">
        <v>383</v>
      </c>
      <c r="C36" s="66" t="s">
        <v>383</v>
      </c>
      <c r="D36" s="58" t="s">
        <v>404</v>
      </c>
      <c r="E36" s="58" t="s">
        <v>385</v>
      </c>
      <c r="F36" s="58" t="s">
        <v>408</v>
      </c>
      <c r="G36" s="58" t="s">
        <v>385</v>
      </c>
      <c r="H36" s="10" t="s">
        <v>387</v>
      </c>
      <c r="I36" s="14" t="s">
        <v>458</v>
      </c>
      <c r="J36" s="128" t="s">
        <v>454</v>
      </c>
      <c r="K36" s="526">
        <v>8.4900973665088202</v>
      </c>
      <c r="L36" s="526">
        <v>1.4219966740435603</v>
      </c>
      <c r="M36" s="58" t="s">
        <v>459</v>
      </c>
      <c r="N36" s="585" t="s">
        <v>383</v>
      </c>
      <c r="O36" s="527" t="s">
        <v>455</v>
      </c>
      <c r="P36" s="524">
        <v>0.61299999999999999</v>
      </c>
      <c r="Q36" s="608" t="s">
        <v>450</v>
      </c>
      <c r="R36" s="528" t="s">
        <v>449</v>
      </c>
      <c r="S36" s="18">
        <v>0</v>
      </c>
      <c r="T36" s="16">
        <f t="shared" si="5"/>
        <v>0</v>
      </c>
      <c r="U36" s="18">
        <v>0</v>
      </c>
      <c r="V36" s="16">
        <f t="shared" si="5"/>
        <v>0</v>
      </c>
      <c r="W36" s="18">
        <v>0</v>
      </c>
      <c r="X36" s="16">
        <f t="shared" si="47"/>
        <v>0</v>
      </c>
      <c r="Y36" s="18">
        <v>0</v>
      </c>
      <c r="Z36" s="10">
        <f t="shared" si="30"/>
        <v>0</v>
      </c>
      <c r="AA36" s="561">
        <v>0</v>
      </c>
      <c r="AB36" s="562">
        <f t="shared" si="48"/>
        <v>0</v>
      </c>
      <c r="AC36" s="563"/>
      <c r="AD36" s="562">
        <f t="shared" si="49"/>
        <v>0</v>
      </c>
      <c r="AE36" s="563"/>
      <c r="AF36" s="562">
        <f t="shared" si="50"/>
        <v>0</v>
      </c>
      <c r="AG36" s="563"/>
      <c r="AH36" s="562"/>
      <c r="AI36" s="564">
        <f t="shared" si="10"/>
        <v>0</v>
      </c>
      <c r="AJ36" s="565">
        <f t="shared" si="51"/>
        <v>0</v>
      </c>
      <c r="AK36" s="566">
        <f t="shared" si="51"/>
        <v>0</v>
      </c>
      <c r="AL36" s="565">
        <f t="shared" si="52"/>
        <v>0</v>
      </c>
      <c r="AM36" s="565">
        <f t="shared" si="52"/>
        <v>0</v>
      </c>
      <c r="AN36" s="565">
        <f t="shared" si="53"/>
        <v>0</v>
      </c>
      <c r="AO36" s="565">
        <f t="shared" si="53"/>
        <v>0</v>
      </c>
      <c r="AP36" s="565">
        <f t="shared" si="54"/>
        <v>0</v>
      </c>
      <c r="AQ36" s="565">
        <f t="shared" si="54"/>
        <v>0</v>
      </c>
      <c r="AR36" s="492">
        <v>0</v>
      </c>
      <c r="AS36" s="493">
        <v>0</v>
      </c>
      <c r="AT36" s="493">
        <v>0</v>
      </c>
      <c r="AU36" s="493">
        <v>0</v>
      </c>
      <c r="AV36" s="493">
        <v>0</v>
      </c>
      <c r="AW36" s="493">
        <v>0</v>
      </c>
      <c r="AX36" s="493">
        <v>0</v>
      </c>
      <c r="AY36" s="494">
        <v>0</v>
      </c>
      <c r="AZ36" s="637" t="str">
        <f t="shared" si="15"/>
        <v>N/A</v>
      </c>
      <c r="BA36" s="84" t="s">
        <v>383</v>
      </c>
      <c r="BB36" s="638">
        <f t="shared" si="16"/>
        <v>0.61299999999999999</v>
      </c>
      <c r="BC36" s="22" t="s">
        <v>383</v>
      </c>
      <c r="BD36" s="639">
        <f t="shared" si="17"/>
        <v>62.345939964953423</v>
      </c>
      <c r="BE36" s="126" t="s">
        <v>383</v>
      </c>
      <c r="BF36" s="129">
        <v>21.95</v>
      </c>
      <c r="BG36" s="221" t="s">
        <v>383</v>
      </c>
      <c r="BH36" s="640" t="e">
        <f t="shared" si="18"/>
        <v>#VALUE!</v>
      </c>
      <c r="BI36" s="221" t="s">
        <v>383</v>
      </c>
      <c r="BJ36" s="126">
        <v>0</v>
      </c>
      <c r="BK36" s="765">
        <f>'9. Pre-Investment Baselines'!AV30-BJ36</f>
        <v>0</v>
      </c>
      <c r="BL36" s="858">
        <f t="shared" si="2"/>
        <v>0</v>
      </c>
      <c r="BM36" s="94" t="s">
        <v>387</v>
      </c>
      <c r="BN36" s="127">
        <f t="shared" si="29"/>
        <v>0</v>
      </c>
      <c r="BO36" s="511" t="s">
        <v>387</v>
      </c>
      <c r="BP36" s="514" t="s">
        <v>383</v>
      </c>
      <c r="BQ36" s="513">
        <f t="shared" si="38"/>
        <v>0</v>
      </c>
      <c r="BR36" s="767" t="s">
        <v>383</v>
      </c>
      <c r="BS36" s="768" t="s">
        <v>383</v>
      </c>
      <c r="BT36" s="488" t="s">
        <v>383</v>
      </c>
      <c r="BU36" s="489" t="s">
        <v>383</v>
      </c>
      <c r="BV36" s="490" t="s">
        <v>383</v>
      </c>
      <c r="BW36" s="491" t="s">
        <v>383</v>
      </c>
      <c r="BX36" s="488" t="s">
        <v>383</v>
      </c>
      <c r="BY36" s="490" t="s">
        <v>383</v>
      </c>
      <c r="BZ36" s="490" t="s">
        <v>383</v>
      </c>
      <c r="CA36" s="491" t="s">
        <v>383</v>
      </c>
      <c r="CB36" s="257" t="s">
        <v>383</v>
      </c>
      <c r="CC36" s="94" t="s">
        <v>383</v>
      </c>
      <c r="CD36" s="495" t="s">
        <v>383</v>
      </c>
      <c r="CE36" s="94" t="s">
        <v>383</v>
      </c>
      <c r="CF36" s="95" t="s">
        <v>383</v>
      </c>
      <c r="CG36" s="52"/>
    </row>
    <row r="37" spans="1:85" ht="30" customHeight="1" thickBot="1" x14ac:dyDescent="0.35">
      <c r="A37" s="60" t="str">
        <f t="shared" si="0"/>
        <v>Unitil</v>
      </c>
      <c r="B37" s="66" t="s">
        <v>383</v>
      </c>
      <c r="C37" s="66" t="s">
        <v>383</v>
      </c>
      <c r="D37" s="58" t="s">
        <v>404</v>
      </c>
      <c r="E37" s="58" t="s">
        <v>385</v>
      </c>
      <c r="F37" s="58" t="s">
        <v>409</v>
      </c>
      <c r="G37" s="58" t="s">
        <v>385</v>
      </c>
      <c r="H37" s="10" t="s">
        <v>387</v>
      </c>
      <c r="I37" s="14" t="s">
        <v>458</v>
      </c>
      <c r="J37" s="128" t="s">
        <v>454</v>
      </c>
      <c r="K37" s="526">
        <v>8.533121508568831</v>
      </c>
      <c r="L37" s="526">
        <v>1.7916746093257578</v>
      </c>
      <c r="M37" s="58" t="s">
        <v>383</v>
      </c>
      <c r="N37" s="585" t="s">
        <v>383</v>
      </c>
      <c r="O37" s="527" t="s">
        <v>455</v>
      </c>
      <c r="P37" s="524">
        <v>1.625</v>
      </c>
      <c r="Q37" s="608" t="s">
        <v>450</v>
      </c>
      <c r="R37" s="528" t="s">
        <v>449</v>
      </c>
      <c r="S37" s="18">
        <v>0</v>
      </c>
      <c r="T37" s="16">
        <f t="shared" si="5"/>
        <v>0</v>
      </c>
      <c r="U37" s="18">
        <v>0</v>
      </c>
      <c r="V37" s="16">
        <f t="shared" si="5"/>
        <v>0</v>
      </c>
      <c r="W37" s="18">
        <v>0</v>
      </c>
      <c r="X37" s="16">
        <f t="shared" si="47"/>
        <v>0</v>
      </c>
      <c r="Y37" s="18">
        <v>0</v>
      </c>
      <c r="Z37" s="10">
        <f t="shared" si="30"/>
        <v>0</v>
      </c>
      <c r="AA37" s="561">
        <v>0</v>
      </c>
      <c r="AB37" s="562">
        <f t="shared" si="48"/>
        <v>0</v>
      </c>
      <c r="AC37" s="563"/>
      <c r="AD37" s="562">
        <f t="shared" si="49"/>
        <v>0</v>
      </c>
      <c r="AE37" s="563"/>
      <c r="AF37" s="562">
        <f t="shared" si="50"/>
        <v>0</v>
      </c>
      <c r="AG37" s="563"/>
      <c r="AH37" s="562"/>
      <c r="AI37" s="564">
        <f t="shared" si="10"/>
        <v>0</v>
      </c>
      <c r="AJ37" s="565">
        <f t="shared" si="51"/>
        <v>0</v>
      </c>
      <c r="AK37" s="566">
        <f t="shared" si="51"/>
        <v>0</v>
      </c>
      <c r="AL37" s="565">
        <f t="shared" si="52"/>
        <v>0</v>
      </c>
      <c r="AM37" s="565">
        <f t="shared" si="52"/>
        <v>0</v>
      </c>
      <c r="AN37" s="565">
        <f t="shared" si="53"/>
        <v>0</v>
      </c>
      <c r="AO37" s="565">
        <f t="shared" si="53"/>
        <v>0</v>
      </c>
      <c r="AP37" s="565">
        <f t="shared" si="54"/>
        <v>0</v>
      </c>
      <c r="AQ37" s="565">
        <f t="shared" si="54"/>
        <v>0</v>
      </c>
      <c r="AR37" s="492">
        <v>0</v>
      </c>
      <c r="AS37" s="493">
        <v>0</v>
      </c>
      <c r="AT37" s="493">
        <v>0</v>
      </c>
      <c r="AU37" s="493">
        <v>0</v>
      </c>
      <c r="AV37" s="493">
        <v>0</v>
      </c>
      <c r="AW37" s="493">
        <v>0</v>
      </c>
      <c r="AX37" s="493">
        <v>0</v>
      </c>
      <c r="AY37" s="494">
        <v>0</v>
      </c>
      <c r="AZ37" s="637" t="str">
        <f t="shared" si="15"/>
        <v>N/A</v>
      </c>
      <c r="BA37" s="84" t="s">
        <v>383</v>
      </c>
      <c r="BB37" s="638">
        <f t="shared" si="16"/>
        <v>1.625</v>
      </c>
      <c r="BC37" s="22" t="s">
        <v>383</v>
      </c>
      <c r="BD37" s="639">
        <f t="shared" si="17"/>
        <v>165.27267935244589</v>
      </c>
      <c r="BE37" s="126" t="s">
        <v>383</v>
      </c>
      <c r="BF37" s="129">
        <v>22.95</v>
      </c>
      <c r="BG37" s="221" t="s">
        <v>383</v>
      </c>
      <c r="BH37" s="640" t="e">
        <f t="shared" si="18"/>
        <v>#VALUE!</v>
      </c>
      <c r="BI37" s="221" t="s">
        <v>383</v>
      </c>
      <c r="BJ37" s="126">
        <v>0</v>
      </c>
      <c r="BK37" s="765">
        <f>'9. Pre-Investment Baselines'!AV31-BJ37</f>
        <v>0</v>
      </c>
      <c r="BL37" s="858">
        <f t="shared" si="2"/>
        <v>0</v>
      </c>
      <c r="BM37" s="94" t="s">
        <v>387</v>
      </c>
      <c r="BN37" s="127">
        <f t="shared" si="29"/>
        <v>0</v>
      </c>
      <c r="BO37" s="511" t="s">
        <v>387</v>
      </c>
      <c r="BP37" s="514" t="s">
        <v>383</v>
      </c>
      <c r="BQ37" s="513">
        <f t="shared" si="38"/>
        <v>0</v>
      </c>
      <c r="BR37" s="767" t="s">
        <v>383</v>
      </c>
      <c r="BS37" s="768" t="s">
        <v>383</v>
      </c>
      <c r="BT37" s="488"/>
      <c r="BU37" s="489">
        <v>0</v>
      </c>
      <c r="BV37" s="490"/>
      <c r="BW37" s="491">
        <v>0</v>
      </c>
      <c r="BX37" s="488"/>
      <c r="BY37" s="490">
        <v>0</v>
      </c>
      <c r="BZ37" s="490"/>
      <c r="CA37" s="491">
        <v>0</v>
      </c>
      <c r="CB37" s="257" t="s">
        <v>383</v>
      </c>
      <c r="CC37" s="94" t="s">
        <v>383</v>
      </c>
      <c r="CD37" s="495" t="s">
        <v>383</v>
      </c>
      <c r="CE37" s="94" t="s">
        <v>383</v>
      </c>
      <c r="CF37" s="95" t="s">
        <v>383</v>
      </c>
      <c r="CG37" s="52"/>
    </row>
    <row r="38" spans="1:85" ht="30" customHeight="1" thickBot="1" x14ac:dyDescent="0.35">
      <c r="A38" s="60" t="str">
        <f t="shared" si="0"/>
        <v>Unitil</v>
      </c>
      <c r="B38" s="66" t="s">
        <v>383</v>
      </c>
      <c r="C38" s="66" t="s">
        <v>383</v>
      </c>
      <c r="D38" s="58" t="s">
        <v>404</v>
      </c>
      <c r="E38" s="58" t="s">
        <v>385</v>
      </c>
      <c r="F38" s="58" t="s">
        <v>410</v>
      </c>
      <c r="G38" s="58" t="s">
        <v>385</v>
      </c>
      <c r="H38" s="10" t="s">
        <v>387</v>
      </c>
      <c r="I38" s="14" t="s">
        <v>458</v>
      </c>
      <c r="J38" s="128" t="s">
        <v>454</v>
      </c>
      <c r="K38" s="526">
        <v>8.4900973665088202</v>
      </c>
      <c r="L38" s="526">
        <v>1.2629094122821971</v>
      </c>
      <c r="M38" s="58" t="s">
        <v>459</v>
      </c>
      <c r="N38" s="585" t="s">
        <v>383</v>
      </c>
      <c r="O38" s="527" t="s">
        <v>455</v>
      </c>
      <c r="P38" s="524">
        <v>1.2589999999999999</v>
      </c>
      <c r="Q38" s="608" t="s">
        <v>450</v>
      </c>
      <c r="R38" s="528" t="s">
        <v>449</v>
      </c>
      <c r="S38" s="18">
        <v>0</v>
      </c>
      <c r="T38" s="16">
        <f t="shared" si="5"/>
        <v>0</v>
      </c>
      <c r="U38" s="18">
        <v>0</v>
      </c>
      <c r="V38" s="16">
        <f t="shared" si="5"/>
        <v>0</v>
      </c>
      <c r="W38" s="18">
        <v>0</v>
      </c>
      <c r="X38" s="16">
        <f t="shared" si="47"/>
        <v>0</v>
      </c>
      <c r="Y38" s="18">
        <v>0</v>
      </c>
      <c r="Z38" s="10">
        <f t="shared" si="30"/>
        <v>0</v>
      </c>
      <c r="AA38" s="561">
        <v>0</v>
      </c>
      <c r="AB38" s="562">
        <f t="shared" si="48"/>
        <v>0</v>
      </c>
      <c r="AC38" s="563"/>
      <c r="AD38" s="562">
        <f t="shared" si="49"/>
        <v>0</v>
      </c>
      <c r="AE38" s="563"/>
      <c r="AF38" s="562">
        <f t="shared" si="50"/>
        <v>0</v>
      </c>
      <c r="AG38" s="563"/>
      <c r="AH38" s="562"/>
      <c r="AI38" s="564">
        <f t="shared" si="10"/>
        <v>0</v>
      </c>
      <c r="AJ38" s="565">
        <f t="shared" si="51"/>
        <v>0</v>
      </c>
      <c r="AK38" s="566">
        <f t="shared" si="51"/>
        <v>0</v>
      </c>
      <c r="AL38" s="565">
        <f t="shared" si="52"/>
        <v>0</v>
      </c>
      <c r="AM38" s="565">
        <f t="shared" si="52"/>
        <v>0</v>
      </c>
      <c r="AN38" s="565">
        <f t="shared" si="53"/>
        <v>0</v>
      </c>
      <c r="AO38" s="565">
        <f t="shared" si="53"/>
        <v>0</v>
      </c>
      <c r="AP38" s="565">
        <f t="shared" si="54"/>
        <v>0</v>
      </c>
      <c r="AQ38" s="565">
        <f t="shared" si="54"/>
        <v>0</v>
      </c>
      <c r="AR38" s="492">
        <v>0</v>
      </c>
      <c r="AS38" s="493">
        <v>0</v>
      </c>
      <c r="AT38" s="493">
        <v>0</v>
      </c>
      <c r="AU38" s="493">
        <v>0</v>
      </c>
      <c r="AV38" s="493">
        <v>0</v>
      </c>
      <c r="AW38" s="493">
        <v>0</v>
      </c>
      <c r="AX38" s="493">
        <v>0</v>
      </c>
      <c r="AY38" s="494">
        <v>0</v>
      </c>
      <c r="AZ38" s="637" t="str">
        <f t="shared" si="15"/>
        <v>N/A</v>
      </c>
      <c r="BA38" s="84" t="s">
        <v>383</v>
      </c>
      <c r="BB38" s="638">
        <f t="shared" si="16"/>
        <v>1.2589999999999999</v>
      </c>
      <c r="BC38" s="22" t="s">
        <v>383</v>
      </c>
      <c r="BD38" s="639">
        <f t="shared" si="17"/>
        <v>128.04818664906421</v>
      </c>
      <c r="BE38" s="126" t="s">
        <v>383</v>
      </c>
      <c r="BF38" s="129">
        <v>23.95</v>
      </c>
      <c r="BG38" s="221" t="s">
        <v>383</v>
      </c>
      <c r="BH38" s="640" t="e">
        <f t="shared" si="18"/>
        <v>#VALUE!</v>
      </c>
      <c r="BI38" s="221" t="s">
        <v>383</v>
      </c>
      <c r="BJ38" s="126">
        <v>0</v>
      </c>
      <c r="BK38" s="765">
        <f>'9. Pre-Investment Baselines'!AV32-BJ38</f>
        <v>0</v>
      </c>
      <c r="BL38" s="858">
        <f t="shared" si="2"/>
        <v>0</v>
      </c>
      <c r="BM38" s="94" t="s">
        <v>387</v>
      </c>
      <c r="BN38" s="127">
        <f t="shared" si="29"/>
        <v>0</v>
      </c>
      <c r="BO38" s="511" t="s">
        <v>387</v>
      </c>
      <c r="BP38" s="514" t="s">
        <v>383</v>
      </c>
      <c r="BQ38" s="513">
        <f t="shared" si="38"/>
        <v>0</v>
      </c>
      <c r="BR38" s="767" t="s">
        <v>383</v>
      </c>
      <c r="BS38" s="768" t="s">
        <v>383</v>
      </c>
      <c r="BT38" s="488" t="s">
        <v>383</v>
      </c>
      <c r="BU38" s="489" t="s">
        <v>383</v>
      </c>
      <c r="BV38" s="490" t="s">
        <v>383</v>
      </c>
      <c r="BW38" s="491" t="s">
        <v>383</v>
      </c>
      <c r="BX38" s="488" t="s">
        <v>383</v>
      </c>
      <c r="BY38" s="490" t="s">
        <v>383</v>
      </c>
      <c r="BZ38" s="490" t="s">
        <v>383</v>
      </c>
      <c r="CA38" s="491" t="s">
        <v>383</v>
      </c>
      <c r="CB38" s="257" t="s">
        <v>383</v>
      </c>
      <c r="CC38" s="94" t="s">
        <v>383</v>
      </c>
      <c r="CD38" s="495" t="s">
        <v>383</v>
      </c>
      <c r="CE38" s="94" t="s">
        <v>383</v>
      </c>
      <c r="CF38" s="95" t="s">
        <v>383</v>
      </c>
      <c r="CG38" s="52"/>
    </row>
    <row r="39" spans="1:85" ht="30" customHeight="1" thickBot="1" x14ac:dyDescent="0.35">
      <c r="A39" s="60" t="str">
        <f t="shared" si="0"/>
        <v>Unitil</v>
      </c>
      <c r="B39" s="66" t="s">
        <v>383</v>
      </c>
      <c r="C39" s="66" t="s">
        <v>383</v>
      </c>
      <c r="D39" s="58" t="s">
        <v>404</v>
      </c>
      <c r="E39" s="58" t="s">
        <v>385</v>
      </c>
      <c r="F39" s="58" t="s">
        <v>411</v>
      </c>
      <c r="G39" s="58" t="s">
        <v>385</v>
      </c>
      <c r="H39" s="10" t="s">
        <v>387</v>
      </c>
      <c r="I39" s="14" t="s">
        <v>458</v>
      </c>
      <c r="J39" s="128" t="s">
        <v>454</v>
      </c>
      <c r="K39" s="532">
        <v>2.122524341627205</v>
      </c>
      <c r="L39" s="526">
        <v>0.25</v>
      </c>
      <c r="M39" s="533" t="s">
        <v>383</v>
      </c>
      <c r="N39" s="585" t="s">
        <v>383</v>
      </c>
      <c r="O39" s="527" t="s">
        <v>455</v>
      </c>
      <c r="P39" s="524" t="s">
        <v>383</v>
      </c>
      <c r="Q39" s="608" t="s">
        <v>450</v>
      </c>
      <c r="R39" s="528" t="s">
        <v>449</v>
      </c>
      <c r="S39" s="18">
        <v>1</v>
      </c>
      <c r="T39" s="16">
        <v>0</v>
      </c>
      <c r="U39" s="18">
        <v>0</v>
      </c>
      <c r="V39" s="16">
        <f t="shared" si="5"/>
        <v>0</v>
      </c>
      <c r="W39" s="18">
        <v>0</v>
      </c>
      <c r="X39" s="16">
        <f t="shared" si="47"/>
        <v>0</v>
      </c>
      <c r="Y39" s="18">
        <v>0</v>
      </c>
      <c r="Z39" s="10">
        <f t="shared" si="30"/>
        <v>0</v>
      </c>
      <c r="AA39" s="561">
        <v>1000</v>
      </c>
      <c r="AB39" s="562">
        <v>0</v>
      </c>
      <c r="AC39" s="563"/>
      <c r="AD39" s="562">
        <v>0</v>
      </c>
      <c r="AE39" s="563"/>
      <c r="AF39" s="562">
        <v>0</v>
      </c>
      <c r="AG39" s="563"/>
      <c r="AH39" s="562"/>
      <c r="AI39" s="564" t="s">
        <v>383</v>
      </c>
      <c r="AJ39" s="565">
        <f t="shared" si="51"/>
        <v>1629360</v>
      </c>
      <c r="AK39" s="566">
        <f t="shared" si="51"/>
        <v>0</v>
      </c>
      <c r="AL39" s="565">
        <f t="shared" si="52"/>
        <v>0</v>
      </c>
      <c r="AM39" s="565">
        <f t="shared" si="52"/>
        <v>0</v>
      </c>
      <c r="AN39" s="565">
        <f t="shared" si="53"/>
        <v>0</v>
      </c>
      <c r="AO39" s="565">
        <f t="shared" si="53"/>
        <v>0</v>
      </c>
      <c r="AP39" s="565">
        <f t="shared" si="54"/>
        <v>0</v>
      </c>
      <c r="AQ39" s="565">
        <f t="shared" si="54"/>
        <v>0</v>
      </c>
      <c r="AR39" s="492">
        <v>0</v>
      </c>
      <c r="AS39" s="493">
        <v>0</v>
      </c>
      <c r="AT39" s="493">
        <v>0</v>
      </c>
      <c r="AU39" s="493">
        <v>0</v>
      </c>
      <c r="AV39" s="493">
        <v>0</v>
      </c>
      <c r="AW39" s="493">
        <v>0</v>
      </c>
      <c r="AX39" s="493">
        <v>0</v>
      </c>
      <c r="AY39" s="494">
        <v>0</v>
      </c>
      <c r="AZ39" s="637" t="str">
        <f t="shared" si="15"/>
        <v>N/A</v>
      </c>
      <c r="BA39" s="84" t="s">
        <v>383</v>
      </c>
      <c r="BB39" s="638" t="str">
        <f t="shared" si="16"/>
        <v>N/A</v>
      </c>
      <c r="BC39" s="22" t="s">
        <v>383</v>
      </c>
      <c r="BD39" s="639" t="e">
        <f t="shared" si="17"/>
        <v>#VALUE!</v>
      </c>
      <c r="BE39" s="126" t="s">
        <v>383</v>
      </c>
      <c r="BF39" s="129">
        <v>24.95</v>
      </c>
      <c r="BG39" s="221" t="s">
        <v>383</v>
      </c>
      <c r="BH39" s="640" t="e">
        <f t="shared" si="18"/>
        <v>#VALUE!</v>
      </c>
      <c r="BI39" s="221" t="s">
        <v>383</v>
      </c>
      <c r="BJ39" s="126">
        <v>0</v>
      </c>
      <c r="BK39" s="765">
        <f>'9. Pre-Investment Baselines'!AV33-BJ39</f>
        <v>0</v>
      </c>
      <c r="BL39" s="858">
        <f t="shared" si="2"/>
        <v>0</v>
      </c>
      <c r="BM39" s="94" t="s">
        <v>387</v>
      </c>
      <c r="BN39" s="127">
        <f t="shared" si="29"/>
        <v>0</v>
      </c>
      <c r="BO39" s="511" t="s">
        <v>387</v>
      </c>
      <c r="BP39" s="514" t="s">
        <v>383</v>
      </c>
      <c r="BQ39" s="513">
        <f t="shared" si="38"/>
        <v>0</v>
      </c>
      <c r="BR39" s="767" t="s">
        <v>383</v>
      </c>
      <c r="BS39" s="768" t="s">
        <v>383</v>
      </c>
      <c r="BT39" s="488" t="s">
        <v>383</v>
      </c>
      <c r="BU39" s="489" t="s">
        <v>383</v>
      </c>
      <c r="BV39" s="490" t="s">
        <v>383</v>
      </c>
      <c r="BW39" s="491" t="s">
        <v>383</v>
      </c>
      <c r="BX39" s="488" t="s">
        <v>383</v>
      </c>
      <c r="BY39" s="490" t="s">
        <v>383</v>
      </c>
      <c r="BZ39" s="490" t="s">
        <v>383</v>
      </c>
      <c r="CA39" s="491" t="s">
        <v>383</v>
      </c>
      <c r="CB39" s="257" t="s">
        <v>383</v>
      </c>
      <c r="CC39" s="94" t="s">
        <v>383</v>
      </c>
      <c r="CD39" s="495" t="s">
        <v>383</v>
      </c>
      <c r="CE39" s="94" t="s">
        <v>383</v>
      </c>
      <c r="CF39" s="95" t="s">
        <v>383</v>
      </c>
      <c r="CG39" s="52"/>
    </row>
    <row r="40" spans="1:85" ht="30" customHeight="1" thickBot="1" x14ac:dyDescent="0.35">
      <c r="A40" s="60" t="str">
        <f t="shared" si="0"/>
        <v>Unitil</v>
      </c>
      <c r="B40" s="66" t="s">
        <v>383</v>
      </c>
      <c r="C40" s="66" t="s">
        <v>383</v>
      </c>
      <c r="D40" s="58" t="s">
        <v>404</v>
      </c>
      <c r="E40" s="58" t="s">
        <v>385</v>
      </c>
      <c r="F40" s="58" t="s">
        <v>412</v>
      </c>
      <c r="G40" s="58" t="s">
        <v>385</v>
      </c>
      <c r="H40" s="10" t="s">
        <v>387</v>
      </c>
      <c r="I40" s="14" t="s">
        <v>458</v>
      </c>
      <c r="J40" s="128" t="s">
        <v>454</v>
      </c>
      <c r="K40" s="526">
        <v>8.533121508568831</v>
      </c>
      <c r="L40" s="526">
        <v>1.7171137049071972</v>
      </c>
      <c r="M40" s="58" t="s">
        <v>383</v>
      </c>
      <c r="N40" s="585">
        <v>1696243.1951469514</v>
      </c>
      <c r="O40" s="527" t="s">
        <v>455</v>
      </c>
      <c r="P40" s="524" t="s">
        <v>383</v>
      </c>
      <c r="Q40" s="608" t="s">
        <v>450</v>
      </c>
      <c r="R40" s="528" t="s">
        <v>449</v>
      </c>
      <c r="S40" s="18">
        <v>0</v>
      </c>
      <c r="T40" s="16">
        <f t="shared" si="5"/>
        <v>0</v>
      </c>
      <c r="U40" s="18">
        <v>0</v>
      </c>
      <c r="V40" s="16">
        <f t="shared" si="5"/>
        <v>0</v>
      </c>
      <c r="W40" s="18">
        <v>0</v>
      </c>
      <c r="X40" s="16">
        <f t="shared" si="47"/>
        <v>0</v>
      </c>
      <c r="Y40" s="18">
        <v>0</v>
      </c>
      <c r="Z40" s="10">
        <f t="shared" ref="Z40:Z70" si="55">Y40</f>
        <v>0</v>
      </c>
      <c r="AA40" s="561">
        <v>0</v>
      </c>
      <c r="AB40" s="562">
        <f t="shared" ref="AB40:AB41" si="56">AA40</f>
        <v>0</v>
      </c>
      <c r="AC40" s="563"/>
      <c r="AD40" s="562">
        <f t="shared" ref="AD40:AD41" si="57">AC40</f>
        <v>0</v>
      </c>
      <c r="AE40" s="563"/>
      <c r="AF40" s="562">
        <f t="shared" ref="AF40:AF41" si="58">AE40</f>
        <v>0</v>
      </c>
      <c r="AG40" s="563"/>
      <c r="AH40" s="562"/>
      <c r="AI40" s="564">
        <f t="shared" si="10"/>
        <v>0</v>
      </c>
      <c r="AJ40" s="565">
        <f t="shared" si="51"/>
        <v>0</v>
      </c>
      <c r="AK40" s="566">
        <f t="shared" si="51"/>
        <v>0</v>
      </c>
      <c r="AL40" s="565">
        <f t="shared" si="52"/>
        <v>0</v>
      </c>
      <c r="AM40" s="565">
        <f t="shared" si="52"/>
        <v>0</v>
      </c>
      <c r="AN40" s="565">
        <f t="shared" si="53"/>
        <v>0</v>
      </c>
      <c r="AO40" s="565">
        <f t="shared" si="53"/>
        <v>0</v>
      </c>
      <c r="AP40" s="565">
        <f t="shared" si="54"/>
        <v>0</v>
      </c>
      <c r="AQ40" s="565">
        <f t="shared" si="54"/>
        <v>0</v>
      </c>
      <c r="AR40" s="492">
        <v>0</v>
      </c>
      <c r="AS40" s="493">
        <v>0</v>
      </c>
      <c r="AT40" s="493">
        <v>0</v>
      </c>
      <c r="AU40" s="493">
        <v>0</v>
      </c>
      <c r="AV40" s="493">
        <v>0</v>
      </c>
      <c r="AW40" s="493">
        <v>0</v>
      </c>
      <c r="AX40" s="493">
        <v>0</v>
      </c>
      <c r="AY40" s="494">
        <v>0</v>
      </c>
      <c r="AZ40" s="637">
        <f t="shared" si="15"/>
        <v>1696243.1951469514</v>
      </c>
      <c r="BA40" s="84" t="s">
        <v>383</v>
      </c>
      <c r="BB40" s="638" t="str">
        <f t="shared" si="16"/>
        <v>N/A</v>
      </c>
      <c r="BC40" s="22" t="s">
        <v>383</v>
      </c>
      <c r="BD40" s="639" t="e">
        <f t="shared" si="17"/>
        <v>#VALUE!</v>
      </c>
      <c r="BE40" s="126" t="s">
        <v>383</v>
      </c>
      <c r="BF40" s="129">
        <v>25.95</v>
      </c>
      <c r="BG40" s="221" t="s">
        <v>383</v>
      </c>
      <c r="BH40" s="640">
        <f t="shared" si="18"/>
        <v>317.02785317296525</v>
      </c>
      <c r="BI40" s="221" t="s">
        <v>383</v>
      </c>
      <c r="BJ40" s="126">
        <v>0</v>
      </c>
      <c r="BK40" s="765">
        <f>'9. Pre-Investment Baselines'!AV34-BJ40</f>
        <v>0</v>
      </c>
      <c r="BL40" s="858">
        <f t="shared" si="2"/>
        <v>0</v>
      </c>
      <c r="BM40" s="94" t="s">
        <v>387</v>
      </c>
      <c r="BN40" s="127">
        <f t="shared" si="29"/>
        <v>0</v>
      </c>
      <c r="BO40" s="511" t="s">
        <v>387</v>
      </c>
      <c r="BP40" s="514" t="s">
        <v>383</v>
      </c>
      <c r="BQ40" s="513">
        <f t="shared" si="38"/>
        <v>0</v>
      </c>
      <c r="BR40" s="767" t="s">
        <v>383</v>
      </c>
      <c r="BS40" s="768" t="s">
        <v>383</v>
      </c>
      <c r="BT40" s="488">
        <v>0</v>
      </c>
      <c r="BU40" s="489">
        <v>33.416670000000003</v>
      </c>
      <c r="BV40" s="490">
        <v>0</v>
      </c>
      <c r="BW40" s="491">
        <v>32.86</v>
      </c>
      <c r="BX40" s="488">
        <v>0</v>
      </c>
      <c r="BY40" s="490">
        <v>1.111</v>
      </c>
      <c r="BZ40" s="490">
        <v>0</v>
      </c>
      <c r="CA40" s="491">
        <v>0.83333330000000005</v>
      </c>
      <c r="CB40" s="257" t="s">
        <v>383</v>
      </c>
      <c r="CC40" s="94" t="s">
        <v>383</v>
      </c>
      <c r="CD40" s="495" t="s">
        <v>383</v>
      </c>
      <c r="CE40" s="94" t="s">
        <v>383</v>
      </c>
      <c r="CF40" s="95" t="s">
        <v>383</v>
      </c>
      <c r="CG40" s="52"/>
    </row>
    <row r="41" spans="1:85" ht="30" customHeight="1" x14ac:dyDescent="0.3">
      <c r="A41" s="60" t="str">
        <f t="shared" si="0"/>
        <v>Unitil</v>
      </c>
      <c r="B41" s="66" t="s">
        <v>383</v>
      </c>
      <c r="C41" s="66" t="s">
        <v>383</v>
      </c>
      <c r="D41" s="58" t="s">
        <v>404</v>
      </c>
      <c r="E41" s="58" t="s">
        <v>385</v>
      </c>
      <c r="F41" s="58" t="s">
        <v>413</v>
      </c>
      <c r="G41" s="58" t="s">
        <v>385</v>
      </c>
      <c r="H41" s="10" t="s">
        <v>387</v>
      </c>
      <c r="I41" s="14" t="s">
        <v>458</v>
      </c>
      <c r="J41" s="128" t="s">
        <v>460</v>
      </c>
      <c r="K41" s="526">
        <v>9.8000000000000007</v>
      </c>
      <c r="L41" s="526" t="s">
        <v>383</v>
      </c>
      <c r="M41" s="58">
        <v>501</v>
      </c>
      <c r="N41" s="585">
        <v>8846394.3272805829</v>
      </c>
      <c r="O41" s="527" t="s">
        <v>455</v>
      </c>
      <c r="P41" s="524">
        <v>2.63</v>
      </c>
      <c r="Q41" s="608" t="s">
        <v>450</v>
      </c>
      <c r="R41" s="528" t="s">
        <v>449</v>
      </c>
      <c r="S41" s="18">
        <v>0</v>
      </c>
      <c r="T41" s="16">
        <f t="shared" si="5"/>
        <v>0</v>
      </c>
      <c r="U41" s="18">
        <v>0</v>
      </c>
      <c r="V41" s="16">
        <f t="shared" si="5"/>
        <v>0</v>
      </c>
      <c r="W41" s="18">
        <v>0</v>
      </c>
      <c r="X41" s="16">
        <f t="shared" si="47"/>
        <v>0</v>
      </c>
      <c r="Y41" s="18">
        <v>0</v>
      </c>
      <c r="Z41" s="10">
        <f t="shared" si="55"/>
        <v>0</v>
      </c>
      <c r="AA41" s="561">
        <v>0</v>
      </c>
      <c r="AB41" s="562">
        <f t="shared" si="56"/>
        <v>0</v>
      </c>
      <c r="AC41" s="563"/>
      <c r="AD41" s="562">
        <f t="shared" si="57"/>
        <v>0</v>
      </c>
      <c r="AE41" s="563"/>
      <c r="AF41" s="562">
        <f t="shared" si="58"/>
        <v>0</v>
      </c>
      <c r="AG41" s="563"/>
      <c r="AH41" s="562"/>
      <c r="AI41" s="564">
        <f t="shared" si="10"/>
        <v>0</v>
      </c>
      <c r="AJ41" s="565">
        <f t="shared" si="51"/>
        <v>0</v>
      </c>
      <c r="AK41" s="566">
        <f t="shared" si="51"/>
        <v>0</v>
      </c>
      <c r="AL41" s="565">
        <f t="shared" si="52"/>
        <v>0</v>
      </c>
      <c r="AM41" s="565">
        <f t="shared" si="52"/>
        <v>0</v>
      </c>
      <c r="AN41" s="565">
        <f t="shared" si="53"/>
        <v>0</v>
      </c>
      <c r="AO41" s="565">
        <f t="shared" si="53"/>
        <v>0</v>
      </c>
      <c r="AP41" s="565">
        <f t="shared" si="54"/>
        <v>0</v>
      </c>
      <c r="AQ41" s="565">
        <f t="shared" si="54"/>
        <v>0</v>
      </c>
      <c r="AR41" s="492">
        <v>0</v>
      </c>
      <c r="AS41" s="493">
        <v>0</v>
      </c>
      <c r="AT41" s="493">
        <v>0</v>
      </c>
      <c r="AU41" s="493">
        <v>0</v>
      </c>
      <c r="AV41" s="493">
        <v>0</v>
      </c>
      <c r="AW41" s="493">
        <v>0</v>
      </c>
      <c r="AX41" s="493">
        <v>0</v>
      </c>
      <c r="AY41" s="494">
        <v>0</v>
      </c>
      <c r="AZ41" s="637">
        <f t="shared" si="15"/>
        <v>8846394.3272805829</v>
      </c>
      <c r="BA41" s="84" t="s">
        <v>383</v>
      </c>
      <c r="BB41" s="638">
        <f t="shared" si="16"/>
        <v>2.63</v>
      </c>
      <c r="BC41" s="22" t="s">
        <v>383</v>
      </c>
      <c r="BD41" s="639">
        <f t="shared" si="17"/>
        <v>267.48747489042006</v>
      </c>
      <c r="BE41" s="126" t="s">
        <v>383</v>
      </c>
      <c r="BF41" s="129">
        <v>26.95</v>
      </c>
      <c r="BG41" s="221" t="s">
        <v>383</v>
      </c>
      <c r="BH41" s="640">
        <f t="shared" si="18"/>
        <v>1653.391099768741</v>
      </c>
      <c r="BI41" s="221" t="s">
        <v>383</v>
      </c>
      <c r="BJ41" s="126">
        <v>0</v>
      </c>
      <c r="BK41" s="765">
        <f>'9. Pre-Investment Baselines'!AV35-BJ41</f>
        <v>0</v>
      </c>
      <c r="BL41" s="858">
        <f t="shared" si="2"/>
        <v>0</v>
      </c>
      <c r="BM41" s="94" t="s">
        <v>387</v>
      </c>
      <c r="BN41" s="127">
        <f t="shared" si="29"/>
        <v>0</v>
      </c>
      <c r="BO41" s="511" t="s">
        <v>387</v>
      </c>
      <c r="BP41" s="514" t="s">
        <v>383</v>
      </c>
      <c r="BQ41" s="513">
        <f t="shared" si="38"/>
        <v>0</v>
      </c>
      <c r="BR41" s="767" t="s">
        <v>383</v>
      </c>
      <c r="BS41" s="768" t="s">
        <v>383</v>
      </c>
      <c r="BT41" s="488">
        <v>0</v>
      </c>
      <c r="BU41" s="489">
        <v>75.045680000000004</v>
      </c>
      <c r="BV41" s="490"/>
      <c r="BW41" s="491">
        <v>17.136669999999999</v>
      </c>
      <c r="BX41" s="488">
        <v>0</v>
      </c>
      <c r="BY41" s="490">
        <v>0.66474730000000004</v>
      </c>
      <c r="BZ41" s="490"/>
      <c r="CA41" s="491">
        <v>0.32533329999999999</v>
      </c>
      <c r="CB41" s="257" t="s">
        <v>383</v>
      </c>
      <c r="CC41" s="94" t="s">
        <v>383</v>
      </c>
      <c r="CD41" s="495" t="s">
        <v>383</v>
      </c>
      <c r="CE41" s="94" t="s">
        <v>383</v>
      </c>
      <c r="CF41" s="95" t="s">
        <v>383</v>
      </c>
      <c r="CG41" s="52"/>
    </row>
    <row r="42" spans="1:85" ht="30" customHeight="1" thickBot="1" x14ac:dyDescent="0.35">
      <c r="A42" s="60" t="str">
        <f t="shared" si="0"/>
        <v>Unitil</v>
      </c>
      <c r="B42" s="66" t="s">
        <v>383</v>
      </c>
      <c r="C42" s="66" t="s">
        <v>383</v>
      </c>
      <c r="D42" s="58" t="s">
        <v>404</v>
      </c>
      <c r="E42" s="58" t="s">
        <v>385</v>
      </c>
      <c r="F42" s="496"/>
      <c r="G42" s="496"/>
      <c r="H42" s="497"/>
      <c r="I42" s="529"/>
      <c r="J42" s="496"/>
      <c r="K42" s="496" t="s">
        <v>456</v>
      </c>
      <c r="L42" s="496"/>
      <c r="M42" s="496">
        <f>SUM(M33:M41)</f>
        <v>2616</v>
      </c>
      <c r="N42" s="583">
        <f>SUM(N33:N41)</f>
        <v>38652579.77960179</v>
      </c>
      <c r="O42" s="530"/>
      <c r="P42" s="496">
        <f>SUM(P33:P41)</f>
        <v>12.803999999999998</v>
      </c>
      <c r="Q42" s="609"/>
      <c r="R42" s="531"/>
      <c r="S42" s="569"/>
      <c r="T42" s="569"/>
      <c r="U42" s="569"/>
      <c r="V42" s="569"/>
      <c r="W42" s="569"/>
      <c r="X42" s="569"/>
      <c r="Y42" s="569"/>
      <c r="Z42" s="569"/>
      <c r="AA42" s="569"/>
      <c r="AB42" s="569"/>
      <c r="AC42" s="569"/>
      <c r="AD42" s="569"/>
      <c r="AE42" s="569"/>
      <c r="AF42" s="569"/>
      <c r="AG42" s="569"/>
      <c r="AH42" s="569"/>
      <c r="AI42" s="569"/>
      <c r="AJ42" s="569"/>
      <c r="AK42" s="497"/>
      <c r="AL42" s="569"/>
      <c r="AM42" s="497"/>
      <c r="AN42" s="569"/>
      <c r="AO42" s="497"/>
      <c r="AP42" s="569"/>
      <c r="AQ42" s="497"/>
      <c r="AR42" s="492">
        <v>0</v>
      </c>
      <c r="AS42" s="493">
        <v>0</v>
      </c>
      <c r="AT42" s="493">
        <v>0</v>
      </c>
      <c r="AU42" s="493">
        <v>0</v>
      </c>
      <c r="AV42" s="493">
        <v>0</v>
      </c>
      <c r="AW42" s="493">
        <v>0</v>
      </c>
      <c r="AX42" s="493">
        <v>0</v>
      </c>
      <c r="AY42" s="494">
        <v>0</v>
      </c>
      <c r="AZ42" s="637">
        <f t="shared" si="15"/>
        <v>38652579.77960179</v>
      </c>
      <c r="BA42" s="84" t="s">
        <v>383</v>
      </c>
      <c r="BB42" s="638">
        <f t="shared" si="16"/>
        <v>12.803999999999998</v>
      </c>
      <c r="BC42" s="22" t="s">
        <v>383</v>
      </c>
      <c r="BD42" s="639">
        <f t="shared" si="17"/>
        <v>1302.2470070330564</v>
      </c>
      <c r="BE42" s="126" t="s">
        <v>383</v>
      </c>
      <c r="BF42" s="129">
        <v>27.95</v>
      </c>
      <c r="BG42" s="221" t="s">
        <v>383</v>
      </c>
      <c r="BH42" s="640">
        <f t="shared" si="18"/>
        <v>7224.167160807574</v>
      </c>
      <c r="BI42" s="221" t="s">
        <v>383</v>
      </c>
      <c r="BJ42" s="126"/>
      <c r="BK42" s="765">
        <f>'9. Pre-Investment Baselines'!AV36-BJ42</f>
        <v>0.33333333333333331</v>
      </c>
      <c r="BL42" s="858">
        <f t="shared" si="2"/>
        <v>0.33333333333333331</v>
      </c>
      <c r="BM42" s="94" t="s">
        <v>387</v>
      </c>
      <c r="BN42" s="127">
        <f t="shared" si="29"/>
        <v>0</v>
      </c>
      <c r="BO42" s="515"/>
      <c r="BP42" s="516"/>
      <c r="BQ42" s="517"/>
      <c r="BR42" s="767" t="s">
        <v>383</v>
      </c>
      <c r="BS42" s="768" t="s">
        <v>383</v>
      </c>
      <c r="BT42" s="488"/>
      <c r="BU42" s="489"/>
      <c r="BV42" s="490"/>
      <c r="BW42" s="491"/>
      <c r="BX42" s="488"/>
      <c r="BY42" s="490"/>
      <c r="BZ42" s="490"/>
      <c r="CA42" s="491"/>
      <c r="CB42" s="257" t="s">
        <v>383</v>
      </c>
      <c r="CC42" s="94" t="s">
        <v>383</v>
      </c>
      <c r="CD42" s="495" t="s">
        <v>383</v>
      </c>
      <c r="CE42" s="94" t="s">
        <v>383</v>
      </c>
      <c r="CF42" s="95" t="s">
        <v>383</v>
      </c>
      <c r="CG42" s="52"/>
    </row>
    <row r="43" spans="1:85" ht="30" customHeight="1" thickBot="1" x14ac:dyDescent="0.35">
      <c r="A43" s="60" t="str">
        <f t="shared" si="0"/>
        <v>Unitil</v>
      </c>
      <c r="B43" s="66" t="s">
        <v>383</v>
      </c>
      <c r="C43" s="66" t="s">
        <v>383</v>
      </c>
      <c r="D43" s="58" t="s">
        <v>414</v>
      </c>
      <c r="E43" s="58" t="s">
        <v>385</v>
      </c>
      <c r="F43" s="58" t="s">
        <v>415</v>
      </c>
      <c r="G43" s="58" t="s">
        <v>385</v>
      </c>
      <c r="H43" s="10" t="s">
        <v>387</v>
      </c>
      <c r="I43" s="14" t="s">
        <v>453</v>
      </c>
      <c r="J43" s="128" t="s">
        <v>454</v>
      </c>
      <c r="K43" s="526">
        <v>9.5609204577802025</v>
      </c>
      <c r="L43" s="526">
        <v>12.561166068941279</v>
      </c>
      <c r="M43" s="58">
        <v>1238</v>
      </c>
      <c r="N43" s="582">
        <v>10329081.801584324</v>
      </c>
      <c r="O43" s="527" t="s">
        <v>455</v>
      </c>
      <c r="P43" s="524">
        <v>2.573</v>
      </c>
      <c r="Q43" s="608" t="s">
        <v>450</v>
      </c>
      <c r="R43" s="528" t="s">
        <v>449</v>
      </c>
      <c r="S43" s="18">
        <v>135</v>
      </c>
      <c r="T43" s="16">
        <f t="shared" si="5"/>
        <v>135</v>
      </c>
      <c r="U43" s="18">
        <v>0</v>
      </c>
      <c r="V43" s="16">
        <f t="shared" si="5"/>
        <v>0</v>
      </c>
      <c r="W43" s="18">
        <v>3</v>
      </c>
      <c r="X43" s="16">
        <f t="shared" ref="X43:X45" si="59">W43</f>
        <v>3</v>
      </c>
      <c r="Y43" s="18">
        <v>0</v>
      </c>
      <c r="Z43" s="10">
        <f t="shared" si="55"/>
        <v>0</v>
      </c>
      <c r="AA43" s="561">
        <v>1062</v>
      </c>
      <c r="AB43" s="562">
        <f t="shared" ref="AB43:AB45" si="60">AA43</f>
        <v>1062</v>
      </c>
      <c r="AC43" s="563"/>
      <c r="AD43" s="562">
        <f t="shared" ref="AD43:AD45" si="61">AC43</f>
        <v>0</v>
      </c>
      <c r="AE43" s="563">
        <v>9</v>
      </c>
      <c r="AF43" s="562">
        <f t="shared" ref="AF43:AF45" si="62">AE43</f>
        <v>9</v>
      </c>
      <c r="AG43" s="563"/>
      <c r="AH43" s="562"/>
      <c r="AI43" s="564">
        <f t="shared" si="10"/>
        <v>0.41624562767197826</v>
      </c>
      <c r="AJ43" s="565">
        <f t="shared" ref="AJ43:AK45" si="63">AA43*0.186*8760</f>
        <v>1730380.32</v>
      </c>
      <c r="AK43" s="566">
        <f t="shared" si="63"/>
        <v>1730380.32</v>
      </c>
      <c r="AL43" s="565">
        <f t="shared" ref="AL43:AM45" si="64">AC43*8760</f>
        <v>0</v>
      </c>
      <c r="AM43" s="565">
        <f t="shared" si="64"/>
        <v>0</v>
      </c>
      <c r="AN43" s="565">
        <f t="shared" ref="AN43:AO45" si="65">AE43*0.186*8760</f>
        <v>14664.24</v>
      </c>
      <c r="AO43" s="565">
        <f t="shared" si="65"/>
        <v>14664.24</v>
      </c>
      <c r="AP43" s="565">
        <f t="shared" ref="AP43:AQ45" si="66">AG43*0.046*8760</f>
        <v>0</v>
      </c>
      <c r="AQ43" s="565">
        <f t="shared" si="66"/>
        <v>0</v>
      </c>
      <c r="AR43" s="492">
        <v>0</v>
      </c>
      <c r="AS43" s="493">
        <v>0</v>
      </c>
      <c r="AT43" s="493">
        <v>0</v>
      </c>
      <c r="AU43" s="493">
        <v>0</v>
      </c>
      <c r="AV43" s="493">
        <v>0</v>
      </c>
      <c r="AW43" s="493">
        <v>0</v>
      </c>
      <c r="AX43" s="493">
        <v>0</v>
      </c>
      <c r="AY43" s="494">
        <v>0</v>
      </c>
      <c r="AZ43" s="637">
        <f t="shared" si="15"/>
        <v>10329081.801584324</v>
      </c>
      <c r="BA43" s="84" t="s">
        <v>383</v>
      </c>
      <c r="BB43" s="638">
        <f t="shared" si="16"/>
        <v>2.573</v>
      </c>
      <c r="BC43" s="22" t="s">
        <v>383</v>
      </c>
      <c r="BD43" s="639">
        <f t="shared" si="17"/>
        <v>261.69021783005735</v>
      </c>
      <c r="BE43" s="126" t="s">
        <v>383</v>
      </c>
      <c r="BF43" s="129">
        <v>28.95</v>
      </c>
      <c r="BG43" s="221" t="s">
        <v>383</v>
      </c>
      <c r="BH43" s="640">
        <f t="shared" si="18"/>
        <v>1930.5053887161102</v>
      </c>
      <c r="BI43" s="221" t="s">
        <v>383</v>
      </c>
      <c r="BJ43" s="126">
        <v>1</v>
      </c>
      <c r="BK43" s="765">
        <f>'9. Pre-Investment Baselines'!AV37-BJ43</f>
        <v>-1</v>
      </c>
      <c r="BL43" s="858">
        <f t="shared" si="2"/>
        <v>0</v>
      </c>
      <c r="BM43" s="94" t="s">
        <v>387</v>
      </c>
      <c r="BN43" s="127">
        <f t="shared" si="29"/>
        <v>0</v>
      </c>
      <c r="BO43" s="511" t="s">
        <v>387</v>
      </c>
      <c r="BP43" s="514" t="s">
        <v>383</v>
      </c>
      <c r="BQ43" s="513">
        <f t="shared" si="38"/>
        <v>0</v>
      </c>
      <c r="BR43" s="767" t="s">
        <v>383</v>
      </c>
      <c r="BS43" s="768" t="s">
        <v>383</v>
      </c>
      <c r="BT43" s="488">
        <v>1.41</v>
      </c>
      <c r="BU43" s="489">
        <v>13.373329999999999</v>
      </c>
      <c r="BV43" s="490">
        <v>1.41</v>
      </c>
      <c r="BW43" s="491">
        <v>12.55</v>
      </c>
      <c r="BX43" s="488">
        <v>2.1000000000000001E-2</v>
      </c>
      <c r="BY43" s="490">
        <v>0.30033329999999997</v>
      </c>
      <c r="BZ43" s="490">
        <v>2.1000000000000001E-2</v>
      </c>
      <c r="CA43" s="491">
        <v>0.29199999999999998</v>
      </c>
      <c r="CB43" s="257" t="s">
        <v>383</v>
      </c>
      <c r="CC43" s="94" t="s">
        <v>383</v>
      </c>
      <c r="CD43" s="495" t="s">
        <v>383</v>
      </c>
      <c r="CE43" s="94" t="s">
        <v>383</v>
      </c>
      <c r="CF43" s="95" t="s">
        <v>383</v>
      </c>
      <c r="CG43" s="52"/>
    </row>
    <row r="44" spans="1:85" ht="30" customHeight="1" thickBot="1" x14ac:dyDescent="0.35">
      <c r="A44" s="60" t="str">
        <f t="shared" si="0"/>
        <v>Unitil</v>
      </c>
      <c r="B44" s="66" t="s">
        <v>383</v>
      </c>
      <c r="C44" s="66" t="s">
        <v>383</v>
      </c>
      <c r="D44" s="58" t="s">
        <v>414</v>
      </c>
      <c r="E44" s="58" t="s">
        <v>385</v>
      </c>
      <c r="F44" s="58" t="s">
        <v>416</v>
      </c>
      <c r="G44" s="58" t="s">
        <v>385</v>
      </c>
      <c r="H44" s="10" t="s">
        <v>387</v>
      </c>
      <c r="I44" s="14" t="s">
        <v>453</v>
      </c>
      <c r="J44" s="128" t="s">
        <v>454</v>
      </c>
      <c r="K44" s="526">
        <v>9.5609204577802025</v>
      </c>
      <c r="L44" s="526">
        <v>9.2775641883200759</v>
      </c>
      <c r="M44" s="58">
        <v>631</v>
      </c>
      <c r="N44" s="582">
        <v>6075516.8548330972</v>
      </c>
      <c r="O44" s="527" t="s">
        <v>455</v>
      </c>
      <c r="P44" s="524">
        <v>1.3779999999999999</v>
      </c>
      <c r="Q44" s="608" t="s">
        <v>450</v>
      </c>
      <c r="R44" s="528" t="s">
        <v>449</v>
      </c>
      <c r="S44" s="18">
        <v>47</v>
      </c>
      <c r="T44" s="16">
        <f t="shared" si="5"/>
        <v>47</v>
      </c>
      <c r="U44" s="18">
        <v>0</v>
      </c>
      <c r="V44" s="16">
        <f t="shared" si="5"/>
        <v>0</v>
      </c>
      <c r="W44" s="18">
        <v>3</v>
      </c>
      <c r="X44" s="16">
        <f t="shared" si="59"/>
        <v>3</v>
      </c>
      <c r="Y44" s="18">
        <v>0</v>
      </c>
      <c r="Z44" s="10">
        <f t="shared" si="55"/>
        <v>0</v>
      </c>
      <c r="AA44" s="561">
        <v>321</v>
      </c>
      <c r="AB44" s="562">
        <f t="shared" si="60"/>
        <v>321</v>
      </c>
      <c r="AC44" s="563"/>
      <c r="AD44" s="562">
        <f t="shared" si="61"/>
        <v>0</v>
      </c>
      <c r="AE44" s="563"/>
      <c r="AF44" s="562">
        <f t="shared" si="62"/>
        <v>0</v>
      </c>
      <c r="AG44" s="563"/>
      <c r="AH44" s="562"/>
      <c r="AI44" s="564">
        <f t="shared" si="10"/>
        <v>0.23294629898403482</v>
      </c>
      <c r="AJ44" s="565">
        <f t="shared" si="63"/>
        <v>523024.56000000006</v>
      </c>
      <c r="AK44" s="566">
        <f t="shared" si="63"/>
        <v>523024.56000000006</v>
      </c>
      <c r="AL44" s="565">
        <f t="shared" si="64"/>
        <v>0</v>
      </c>
      <c r="AM44" s="565">
        <f t="shared" si="64"/>
        <v>0</v>
      </c>
      <c r="AN44" s="565">
        <f t="shared" si="65"/>
        <v>0</v>
      </c>
      <c r="AO44" s="565">
        <f t="shared" si="65"/>
        <v>0</v>
      </c>
      <c r="AP44" s="565">
        <f t="shared" si="66"/>
        <v>0</v>
      </c>
      <c r="AQ44" s="565">
        <f t="shared" si="66"/>
        <v>0</v>
      </c>
      <c r="AR44" s="492">
        <v>0</v>
      </c>
      <c r="AS44" s="493">
        <v>0</v>
      </c>
      <c r="AT44" s="493">
        <v>0</v>
      </c>
      <c r="AU44" s="493">
        <v>0</v>
      </c>
      <c r="AV44" s="493">
        <v>0</v>
      </c>
      <c r="AW44" s="493">
        <v>0</v>
      </c>
      <c r="AX44" s="493">
        <v>0</v>
      </c>
      <c r="AY44" s="494">
        <v>0</v>
      </c>
      <c r="AZ44" s="637">
        <f t="shared" si="15"/>
        <v>6075516.8548330972</v>
      </c>
      <c r="BA44" s="84" t="s">
        <v>383</v>
      </c>
      <c r="BB44" s="638">
        <f t="shared" si="16"/>
        <v>1.3779999999999999</v>
      </c>
      <c r="BC44" s="22" t="s">
        <v>383</v>
      </c>
      <c r="BD44" s="639">
        <f t="shared" si="17"/>
        <v>140.15123209087412</v>
      </c>
      <c r="BE44" s="126" t="s">
        <v>383</v>
      </c>
      <c r="BF44" s="129">
        <v>29.95</v>
      </c>
      <c r="BG44" s="221" t="s">
        <v>383</v>
      </c>
      <c r="BH44" s="640">
        <f t="shared" si="18"/>
        <v>1135.514100168306</v>
      </c>
      <c r="BI44" s="221" t="s">
        <v>383</v>
      </c>
      <c r="BJ44" s="126">
        <v>4</v>
      </c>
      <c r="BK44" s="765">
        <f>'9. Pre-Investment Baselines'!AV38-BJ44</f>
        <v>-2.666666666666667</v>
      </c>
      <c r="BL44" s="858">
        <f t="shared" si="2"/>
        <v>1.333333333333333</v>
      </c>
      <c r="BM44" s="94" t="s">
        <v>387</v>
      </c>
      <c r="BN44" s="127">
        <f t="shared" si="29"/>
        <v>0</v>
      </c>
      <c r="BO44" s="511" t="s">
        <v>387</v>
      </c>
      <c r="BP44" s="514" t="s">
        <v>383</v>
      </c>
      <c r="BQ44" s="513">
        <f t="shared" si="38"/>
        <v>0</v>
      </c>
      <c r="BR44" s="767" t="s">
        <v>383</v>
      </c>
      <c r="BS44" s="768" t="s">
        <v>383</v>
      </c>
      <c r="BT44" s="488">
        <v>40.61</v>
      </c>
      <c r="BU44" s="489">
        <v>204.47669999999999</v>
      </c>
      <c r="BV44" s="490">
        <v>40.61</v>
      </c>
      <c r="BW44" s="491">
        <v>-21.266669999999998</v>
      </c>
      <c r="BX44" s="488">
        <v>0.48799999999999999</v>
      </c>
      <c r="BY44" s="490">
        <v>-2.6333300000000004E-2</v>
      </c>
      <c r="BZ44" s="490">
        <v>0.48799999999999999</v>
      </c>
      <c r="CA44" s="491">
        <v>-0.24066669999999998</v>
      </c>
      <c r="CB44" s="257" t="s">
        <v>383</v>
      </c>
      <c r="CC44" s="94" t="s">
        <v>383</v>
      </c>
      <c r="CD44" s="495" t="s">
        <v>383</v>
      </c>
      <c r="CE44" s="94" t="s">
        <v>383</v>
      </c>
      <c r="CF44" s="95" t="s">
        <v>383</v>
      </c>
      <c r="CG44" s="52"/>
    </row>
    <row r="45" spans="1:85" ht="30" customHeight="1" x14ac:dyDescent="0.3">
      <c r="A45" s="60" t="str">
        <f t="shared" si="0"/>
        <v>Unitil</v>
      </c>
      <c r="B45" s="66" t="s">
        <v>383</v>
      </c>
      <c r="C45" s="66" t="s">
        <v>383</v>
      </c>
      <c r="D45" s="58" t="s">
        <v>414</v>
      </c>
      <c r="E45" s="58" t="s">
        <v>385</v>
      </c>
      <c r="F45" s="58" t="s">
        <v>417</v>
      </c>
      <c r="G45" s="58" t="s">
        <v>385</v>
      </c>
      <c r="H45" s="10" t="s">
        <v>387</v>
      </c>
      <c r="I45" s="14" t="s">
        <v>453</v>
      </c>
      <c r="J45" s="128" t="s">
        <v>454</v>
      </c>
      <c r="K45" s="526">
        <v>11.951150572225254</v>
      </c>
      <c r="L45" s="526">
        <v>6.1127211098484846E-2</v>
      </c>
      <c r="M45" s="58">
        <v>3</v>
      </c>
      <c r="N45" s="584" t="s">
        <v>383</v>
      </c>
      <c r="O45" s="527" t="s">
        <v>383</v>
      </c>
      <c r="P45" s="524">
        <v>0.13500000000000001</v>
      </c>
      <c r="Q45" s="608" t="s">
        <v>450</v>
      </c>
      <c r="R45" s="528" t="s">
        <v>449</v>
      </c>
      <c r="S45" s="18">
        <v>0</v>
      </c>
      <c r="T45" s="16">
        <f t="shared" si="5"/>
        <v>0</v>
      </c>
      <c r="U45" s="18">
        <v>0</v>
      </c>
      <c r="V45" s="16">
        <f t="shared" si="5"/>
        <v>0</v>
      </c>
      <c r="W45" s="18">
        <v>0</v>
      </c>
      <c r="X45" s="16">
        <f t="shared" si="59"/>
        <v>0</v>
      </c>
      <c r="Y45" s="18">
        <v>0</v>
      </c>
      <c r="Z45" s="10">
        <f t="shared" si="55"/>
        <v>0</v>
      </c>
      <c r="AA45" s="561"/>
      <c r="AB45" s="562">
        <f t="shared" si="60"/>
        <v>0</v>
      </c>
      <c r="AC45" s="563"/>
      <c r="AD45" s="562">
        <f t="shared" si="61"/>
        <v>0</v>
      </c>
      <c r="AE45" s="563"/>
      <c r="AF45" s="562">
        <f t="shared" si="62"/>
        <v>0</v>
      </c>
      <c r="AG45" s="563"/>
      <c r="AH45" s="562"/>
      <c r="AI45" s="564">
        <f t="shared" si="10"/>
        <v>0</v>
      </c>
      <c r="AJ45" s="565">
        <f t="shared" si="63"/>
        <v>0</v>
      </c>
      <c r="AK45" s="566">
        <f t="shared" si="63"/>
        <v>0</v>
      </c>
      <c r="AL45" s="565">
        <f t="shared" si="64"/>
        <v>0</v>
      </c>
      <c r="AM45" s="565">
        <f t="shared" si="64"/>
        <v>0</v>
      </c>
      <c r="AN45" s="565">
        <f t="shared" si="65"/>
        <v>0</v>
      </c>
      <c r="AO45" s="565">
        <f t="shared" si="65"/>
        <v>0</v>
      </c>
      <c r="AP45" s="565">
        <f t="shared" si="66"/>
        <v>0</v>
      </c>
      <c r="AQ45" s="565">
        <f t="shared" si="66"/>
        <v>0</v>
      </c>
      <c r="AR45" s="492">
        <v>0</v>
      </c>
      <c r="AS45" s="493">
        <v>0</v>
      </c>
      <c r="AT45" s="493">
        <v>0</v>
      </c>
      <c r="AU45" s="493">
        <v>0</v>
      </c>
      <c r="AV45" s="493">
        <v>0</v>
      </c>
      <c r="AW45" s="493">
        <v>0</v>
      </c>
      <c r="AX45" s="493">
        <v>0</v>
      </c>
      <c r="AY45" s="494">
        <v>0</v>
      </c>
      <c r="AZ45" s="637" t="str">
        <f t="shared" si="15"/>
        <v>N/A</v>
      </c>
      <c r="BA45" s="84" t="s">
        <v>383</v>
      </c>
      <c r="BB45" s="638">
        <f t="shared" si="16"/>
        <v>0.13500000000000001</v>
      </c>
      <c r="BC45" s="22" t="s">
        <v>383</v>
      </c>
      <c r="BD45" s="639">
        <f t="shared" si="17"/>
        <v>13.730345669280121</v>
      </c>
      <c r="BE45" s="126" t="s">
        <v>383</v>
      </c>
      <c r="BF45" s="129">
        <v>30.95</v>
      </c>
      <c r="BG45" s="221" t="s">
        <v>383</v>
      </c>
      <c r="BH45" s="640" t="e">
        <f t="shared" si="18"/>
        <v>#VALUE!</v>
      </c>
      <c r="BI45" s="221" t="s">
        <v>383</v>
      </c>
      <c r="BJ45" s="126">
        <v>0</v>
      </c>
      <c r="BK45" s="765">
        <f>'9. Pre-Investment Baselines'!AV39-BJ45</f>
        <v>1</v>
      </c>
      <c r="BL45" s="858">
        <f>BK45+BJ45</f>
        <v>1</v>
      </c>
      <c r="BM45" s="94" t="s">
        <v>387</v>
      </c>
      <c r="BN45" s="127">
        <f t="shared" si="29"/>
        <v>0</v>
      </c>
      <c r="BO45" s="511" t="s">
        <v>387</v>
      </c>
      <c r="BP45" s="514" t="s">
        <v>383</v>
      </c>
      <c r="BQ45" s="513">
        <f t="shared" si="38"/>
        <v>0</v>
      </c>
      <c r="BR45" s="767" t="s">
        <v>383</v>
      </c>
      <c r="BS45" s="768" t="s">
        <v>383</v>
      </c>
      <c r="BT45" s="488">
        <v>0</v>
      </c>
      <c r="BU45" s="489" t="s">
        <v>383</v>
      </c>
      <c r="BV45" s="490">
        <v>0</v>
      </c>
      <c r="BW45" s="491" t="s">
        <v>383</v>
      </c>
      <c r="BX45" s="488">
        <v>0</v>
      </c>
      <c r="BY45" s="490" t="s">
        <v>383</v>
      </c>
      <c r="BZ45" s="490">
        <v>0</v>
      </c>
      <c r="CA45" s="491" t="s">
        <v>383</v>
      </c>
      <c r="CB45" s="257" t="s">
        <v>383</v>
      </c>
      <c r="CC45" s="94" t="s">
        <v>383</v>
      </c>
      <c r="CD45" s="495" t="s">
        <v>383</v>
      </c>
      <c r="CE45" s="94" t="s">
        <v>383</v>
      </c>
      <c r="CF45" s="95" t="s">
        <v>383</v>
      </c>
      <c r="CG45" s="52"/>
    </row>
    <row r="46" spans="1:85" ht="30" customHeight="1" thickBot="1" x14ac:dyDescent="0.35">
      <c r="A46" s="60" t="str">
        <f t="shared" si="0"/>
        <v>Unitil</v>
      </c>
      <c r="B46" s="66" t="s">
        <v>383</v>
      </c>
      <c r="C46" s="66" t="s">
        <v>383</v>
      </c>
      <c r="D46" s="58" t="s">
        <v>414</v>
      </c>
      <c r="E46" s="58" t="s">
        <v>385</v>
      </c>
      <c r="F46" s="496"/>
      <c r="G46" s="496"/>
      <c r="H46" s="497"/>
      <c r="I46" s="529"/>
      <c r="J46" s="496"/>
      <c r="K46" s="496" t="s">
        <v>456</v>
      </c>
      <c r="L46" s="496"/>
      <c r="M46" s="496">
        <f>SUM(M43:M45)</f>
        <v>1872</v>
      </c>
      <c r="N46" s="583">
        <f>SUM(N43:N45)</f>
        <v>16404598.656417422</v>
      </c>
      <c r="O46" s="530"/>
      <c r="P46" s="496">
        <f>SUM(P43:P45)</f>
        <v>4.0859999999999994</v>
      </c>
      <c r="Q46" s="609"/>
      <c r="R46" s="531"/>
      <c r="S46" s="569"/>
      <c r="T46" s="569"/>
      <c r="U46" s="569"/>
      <c r="V46" s="569"/>
      <c r="W46" s="569"/>
      <c r="X46" s="569"/>
      <c r="Y46" s="569"/>
      <c r="Z46" s="569"/>
      <c r="AA46" s="569"/>
      <c r="AB46" s="569"/>
      <c r="AC46" s="569"/>
      <c r="AD46" s="569"/>
      <c r="AE46" s="569"/>
      <c r="AF46" s="569"/>
      <c r="AG46" s="569"/>
      <c r="AH46" s="569"/>
      <c r="AI46" s="569"/>
      <c r="AJ46" s="569"/>
      <c r="AK46" s="497"/>
      <c r="AL46" s="569"/>
      <c r="AM46" s="497"/>
      <c r="AN46" s="569"/>
      <c r="AO46" s="497"/>
      <c r="AP46" s="569"/>
      <c r="AQ46" s="497"/>
      <c r="AR46" s="492">
        <v>0</v>
      </c>
      <c r="AS46" s="493">
        <v>0</v>
      </c>
      <c r="AT46" s="493">
        <v>0</v>
      </c>
      <c r="AU46" s="493">
        <v>0</v>
      </c>
      <c r="AV46" s="493">
        <v>0</v>
      </c>
      <c r="AW46" s="493">
        <v>0</v>
      </c>
      <c r="AX46" s="493">
        <v>0</v>
      </c>
      <c r="AY46" s="494">
        <v>0</v>
      </c>
      <c r="AZ46" s="637">
        <f t="shared" si="15"/>
        <v>16404598.656417422</v>
      </c>
      <c r="BA46" s="84" t="s">
        <v>383</v>
      </c>
      <c r="BB46" s="638">
        <f t="shared" si="16"/>
        <v>4.0859999999999994</v>
      </c>
      <c r="BC46" s="22" t="s">
        <v>383</v>
      </c>
      <c r="BD46" s="639">
        <f t="shared" si="17"/>
        <v>415.57179559021148</v>
      </c>
      <c r="BE46" s="126" t="s">
        <v>383</v>
      </c>
      <c r="BF46" s="129">
        <v>31.95</v>
      </c>
      <c r="BG46" s="221" t="s">
        <v>383</v>
      </c>
      <c r="BH46" s="640">
        <f t="shared" si="18"/>
        <v>3066.0194888844167</v>
      </c>
      <c r="BI46" s="221" t="s">
        <v>383</v>
      </c>
      <c r="BJ46" s="126"/>
      <c r="BK46" s="765">
        <f>'9. Pre-Investment Baselines'!AV40-BJ46</f>
        <v>0</v>
      </c>
      <c r="BL46" s="858">
        <f t="shared" ref="BL46:BL71" si="67">BK46+BJ46</f>
        <v>0</v>
      </c>
      <c r="BM46" s="94" t="s">
        <v>387</v>
      </c>
      <c r="BN46" s="127">
        <f t="shared" si="29"/>
        <v>0</v>
      </c>
      <c r="BO46" s="515"/>
      <c r="BP46" s="516"/>
      <c r="BQ46" s="517"/>
      <c r="BR46" s="767" t="s">
        <v>383</v>
      </c>
      <c r="BS46" s="768" t="s">
        <v>383</v>
      </c>
      <c r="BT46" s="488"/>
      <c r="BU46" s="489"/>
      <c r="BV46" s="490"/>
      <c r="BW46" s="491"/>
      <c r="BX46" s="488"/>
      <c r="BY46" s="490"/>
      <c r="BZ46" s="490"/>
      <c r="CA46" s="491"/>
      <c r="CB46" s="257" t="s">
        <v>383</v>
      </c>
      <c r="CC46" s="94" t="s">
        <v>383</v>
      </c>
      <c r="CD46" s="495" t="s">
        <v>383</v>
      </c>
      <c r="CE46" s="94" t="s">
        <v>383</v>
      </c>
      <c r="CF46" s="95" t="s">
        <v>383</v>
      </c>
      <c r="CG46" s="52"/>
    </row>
    <row r="47" spans="1:85" ht="30" customHeight="1" thickBot="1" x14ac:dyDescent="0.35">
      <c r="A47" s="60" t="str">
        <f t="shared" si="0"/>
        <v>Unitil</v>
      </c>
      <c r="B47" s="66" t="s">
        <v>383</v>
      </c>
      <c r="C47" s="66" t="s">
        <v>383</v>
      </c>
      <c r="D47" s="58" t="s">
        <v>418</v>
      </c>
      <c r="E47" s="58" t="s">
        <v>418</v>
      </c>
      <c r="F47" s="58" t="s">
        <v>419</v>
      </c>
      <c r="G47" s="58" t="s">
        <v>418</v>
      </c>
      <c r="H47" s="10" t="s">
        <v>387</v>
      </c>
      <c r="I47" s="14" t="s">
        <v>453</v>
      </c>
      <c r="J47" s="128" t="s">
        <v>454</v>
      </c>
      <c r="K47" s="526">
        <v>9.1976054803845564</v>
      </c>
      <c r="L47" s="526">
        <v>46.286335674929873</v>
      </c>
      <c r="M47" s="58">
        <v>1428</v>
      </c>
      <c r="N47" s="582">
        <v>19146976.723547947</v>
      </c>
      <c r="O47" s="527" t="s">
        <v>455</v>
      </c>
      <c r="P47" s="524">
        <v>5.4829999999999997</v>
      </c>
      <c r="Q47" s="608" t="s">
        <v>448</v>
      </c>
      <c r="R47" s="528" t="s">
        <v>449</v>
      </c>
      <c r="S47" s="18">
        <v>186</v>
      </c>
      <c r="T47" s="16">
        <f t="shared" si="5"/>
        <v>186</v>
      </c>
      <c r="U47" s="18">
        <v>0</v>
      </c>
      <c r="V47" s="16">
        <f t="shared" si="5"/>
        <v>0</v>
      </c>
      <c r="W47" s="18">
        <v>3</v>
      </c>
      <c r="X47" s="16">
        <f t="shared" ref="X47:X48" si="68">W47</f>
        <v>3</v>
      </c>
      <c r="Y47" s="18">
        <v>0</v>
      </c>
      <c r="Z47" s="10">
        <f t="shared" si="55"/>
        <v>0</v>
      </c>
      <c r="AA47" s="561">
        <v>1732</v>
      </c>
      <c r="AB47" s="562">
        <f t="shared" ref="AB47:AB48" si="69">AA47</f>
        <v>1732</v>
      </c>
      <c r="AC47" s="563"/>
      <c r="AD47" s="562">
        <f t="shared" ref="AD47:AD48" si="70">AC47</f>
        <v>0</v>
      </c>
      <c r="AE47" s="563">
        <v>27</v>
      </c>
      <c r="AF47" s="562">
        <f t="shared" ref="AF47:AF48" si="71">AE47</f>
        <v>27</v>
      </c>
      <c r="AG47" s="563"/>
      <c r="AH47" s="562"/>
      <c r="AI47" s="564">
        <f t="shared" si="10"/>
        <v>0.32080977567025354</v>
      </c>
      <c r="AJ47" s="565">
        <f t="shared" ref="AJ47:AK48" si="72">AA47*0.186*8760</f>
        <v>2822051.52</v>
      </c>
      <c r="AK47" s="566">
        <f t="shared" si="72"/>
        <v>2822051.52</v>
      </c>
      <c r="AL47" s="565">
        <f t="shared" ref="AL47:AM48" si="73">AC47*8760</f>
        <v>0</v>
      </c>
      <c r="AM47" s="565">
        <f t="shared" si="73"/>
        <v>0</v>
      </c>
      <c r="AN47" s="565">
        <f t="shared" ref="AN47:AO48" si="74">AE47*0.186*8760</f>
        <v>43992.72</v>
      </c>
      <c r="AO47" s="565">
        <f t="shared" si="74"/>
        <v>43992.72</v>
      </c>
      <c r="AP47" s="565">
        <f t="shared" ref="AP47:AQ48" si="75">AG47*0.046*8760</f>
        <v>0</v>
      </c>
      <c r="AQ47" s="565">
        <f t="shared" si="75"/>
        <v>0</v>
      </c>
      <c r="AR47" s="492">
        <v>0</v>
      </c>
      <c r="AS47" s="493">
        <v>0</v>
      </c>
      <c r="AT47" s="493">
        <v>0</v>
      </c>
      <c r="AU47" s="493">
        <v>0</v>
      </c>
      <c r="AV47" s="493">
        <v>0</v>
      </c>
      <c r="AW47" s="493">
        <v>0</v>
      </c>
      <c r="AX47" s="493">
        <v>0</v>
      </c>
      <c r="AY47" s="494">
        <v>0</v>
      </c>
      <c r="AZ47" s="637">
        <f t="shared" si="15"/>
        <v>19146976.723547947</v>
      </c>
      <c r="BA47" s="84" t="s">
        <v>383</v>
      </c>
      <c r="BB47" s="638">
        <f t="shared" si="16"/>
        <v>5.4829999999999997</v>
      </c>
      <c r="BC47" s="22" t="s">
        <v>383</v>
      </c>
      <c r="BD47" s="639">
        <f t="shared" si="17"/>
        <v>557.65544670120653</v>
      </c>
      <c r="BE47" s="126" t="s">
        <v>383</v>
      </c>
      <c r="BF47" s="129">
        <v>32.950000000000003</v>
      </c>
      <c r="BG47" s="221" t="s">
        <v>383</v>
      </c>
      <c r="BH47" s="640">
        <f t="shared" si="18"/>
        <v>3578.5699496311113</v>
      </c>
      <c r="BI47" s="221" t="s">
        <v>383</v>
      </c>
      <c r="BJ47" s="126">
        <v>4</v>
      </c>
      <c r="BK47" s="765">
        <f>'9. Pre-Investment Baselines'!AV41-BJ47</f>
        <v>-4</v>
      </c>
      <c r="BL47" s="858">
        <f t="shared" si="67"/>
        <v>0</v>
      </c>
      <c r="BM47" s="94" t="s">
        <v>387</v>
      </c>
      <c r="BN47" s="127">
        <f t="shared" si="29"/>
        <v>0</v>
      </c>
      <c r="BO47" s="511" t="s">
        <v>387</v>
      </c>
      <c r="BP47" s="514" t="s">
        <v>383</v>
      </c>
      <c r="BQ47" s="513">
        <f t="shared" si="38"/>
        <v>0</v>
      </c>
      <c r="BR47" s="767" t="s">
        <v>383</v>
      </c>
      <c r="BS47" s="768" t="s">
        <v>383</v>
      </c>
      <c r="BT47" s="488">
        <v>262.10000000000002</v>
      </c>
      <c r="BU47" s="489">
        <v>22.483299999999986</v>
      </c>
      <c r="BV47" s="490">
        <v>262.10000000000002</v>
      </c>
      <c r="BW47" s="491">
        <v>-126.68670000000003</v>
      </c>
      <c r="BX47" s="488">
        <v>2.8119999999999998</v>
      </c>
      <c r="BY47" s="490">
        <v>5.1000000000000156E-2</v>
      </c>
      <c r="BZ47" s="490">
        <v>2.8119999999999998</v>
      </c>
      <c r="CA47" s="491">
        <v>-0.92599999999999993</v>
      </c>
      <c r="CB47" s="257" t="s">
        <v>383</v>
      </c>
      <c r="CC47" s="94" t="s">
        <v>383</v>
      </c>
      <c r="CD47" s="495" t="s">
        <v>383</v>
      </c>
      <c r="CE47" s="94" t="s">
        <v>383</v>
      </c>
      <c r="CF47" s="95" t="s">
        <v>383</v>
      </c>
      <c r="CG47" s="52"/>
    </row>
    <row r="48" spans="1:85" ht="30" customHeight="1" x14ac:dyDescent="0.3">
      <c r="A48" s="60" t="str">
        <f t="shared" si="0"/>
        <v>Unitil</v>
      </c>
      <c r="B48" s="66" t="s">
        <v>383</v>
      </c>
      <c r="C48" s="66" t="s">
        <v>383</v>
      </c>
      <c r="D48" s="58" t="s">
        <v>418</v>
      </c>
      <c r="E48" s="58" t="s">
        <v>418</v>
      </c>
      <c r="F48" s="58" t="s">
        <v>420</v>
      </c>
      <c r="G48" s="58" t="s">
        <v>421</v>
      </c>
      <c r="H48" s="10" t="s">
        <v>387</v>
      </c>
      <c r="I48" s="14" t="s">
        <v>453</v>
      </c>
      <c r="J48" s="128" t="s">
        <v>454</v>
      </c>
      <c r="K48" s="526">
        <v>10.188116839810585</v>
      </c>
      <c r="L48" s="526">
        <v>45.416306044464029</v>
      </c>
      <c r="M48" s="58">
        <v>1695</v>
      </c>
      <c r="N48" s="582">
        <v>22288394.206624277</v>
      </c>
      <c r="O48" s="527" t="s">
        <v>455</v>
      </c>
      <c r="P48" s="524">
        <v>4.43</v>
      </c>
      <c r="Q48" s="608" t="s">
        <v>448</v>
      </c>
      <c r="R48" s="528" t="s">
        <v>449</v>
      </c>
      <c r="S48" s="18">
        <v>159</v>
      </c>
      <c r="T48" s="16">
        <f t="shared" si="5"/>
        <v>159</v>
      </c>
      <c r="U48" s="18">
        <v>0</v>
      </c>
      <c r="V48" s="16">
        <f t="shared" si="5"/>
        <v>0</v>
      </c>
      <c r="W48" s="18">
        <v>4</v>
      </c>
      <c r="X48" s="16">
        <f t="shared" si="68"/>
        <v>4</v>
      </c>
      <c r="Y48" s="18">
        <v>0</v>
      </c>
      <c r="Z48" s="10">
        <f t="shared" si="55"/>
        <v>0</v>
      </c>
      <c r="AA48" s="561">
        <v>4121</v>
      </c>
      <c r="AB48" s="562">
        <f t="shared" si="69"/>
        <v>4121</v>
      </c>
      <c r="AC48" s="563"/>
      <c r="AD48" s="562">
        <f t="shared" si="70"/>
        <v>0</v>
      </c>
      <c r="AE48" s="563">
        <v>25</v>
      </c>
      <c r="AF48" s="562">
        <f t="shared" si="71"/>
        <v>25</v>
      </c>
      <c r="AG48" s="563"/>
      <c r="AH48" s="562"/>
      <c r="AI48" s="564">
        <f t="shared" si="10"/>
        <v>0.93589164785553047</v>
      </c>
      <c r="AJ48" s="565">
        <f t="shared" si="72"/>
        <v>6714592.5599999996</v>
      </c>
      <c r="AK48" s="566">
        <f t="shared" si="72"/>
        <v>6714592.5599999996</v>
      </c>
      <c r="AL48" s="565">
        <f t="shared" si="73"/>
        <v>0</v>
      </c>
      <c r="AM48" s="565">
        <f t="shared" si="73"/>
        <v>0</v>
      </c>
      <c r="AN48" s="565">
        <f t="shared" si="74"/>
        <v>40734</v>
      </c>
      <c r="AO48" s="565">
        <f t="shared" si="74"/>
        <v>40734</v>
      </c>
      <c r="AP48" s="565">
        <f t="shared" si="75"/>
        <v>0</v>
      </c>
      <c r="AQ48" s="565">
        <f t="shared" si="75"/>
        <v>0</v>
      </c>
      <c r="AR48" s="492">
        <v>0</v>
      </c>
      <c r="AS48" s="493">
        <v>0</v>
      </c>
      <c r="AT48" s="493">
        <v>0</v>
      </c>
      <c r="AU48" s="493">
        <v>0</v>
      </c>
      <c r="AV48" s="493">
        <v>0</v>
      </c>
      <c r="AW48" s="493">
        <v>0</v>
      </c>
      <c r="AX48" s="493">
        <v>0</v>
      </c>
      <c r="AY48" s="494">
        <v>0</v>
      </c>
      <c r="AZ48" s="637">
        <f t="shared" si="15"/>
        <v>22288394.206624277</v>
      </c>
      <c r="BA48" s="84" t="s">
        <v>383</v>
      </c>
      <c r="BB48" s="638">
        <f t="shared" si="16"/>
        <v>4.43</v>
      </c>
      <c r="BC48" s="22" t="s">
        <v>383</v>
      </c>
      <c r="BD48" s="639">
        <f t="shared" si="17"/>
        <v>450.55875048082163</v>
      </c>
      <c r="BE48" s="126" t="s">
        <v>383</v>
      </c>
      <c r="BF48" s="129">
        <v>33.950000000000003</v>
      </c>
      <c r="BG48" s="221" t="s">
        <v>383</v>
      </c>
      <c r="BH48" s="640">
        <f t="shared" si="18"/>
        <v>4165.7008772180779</v>
      </c>
      <c r="BI48" s="221" t="s">
        <v>383</v>
      </c>
      <c r="BJ48" s="126">
        <v>1</v>
      </c>
      <c r="BK48" s="765">
        <f>'9. Pre-Investment Baselines'!AV42-BJ48</f>
        <v>0.66666666666666674</v>
      </c>
      <c r="BL48" s="858">
        <f t="shared" si="67"/>
        <v>1.6666666666666667</v>
      </c>
      <c r="BM48" s="94" t="s">
        <v>387</v>
      </c>
      <c r="BN48" s="127">
        <f t="shared" si="29"/>
        <v>0</v>
      </c>
      <c r="BO48" s="511" t="s">
        <v>387</v>
      </c>
      <c r="BP48" s="514" t="s">
        <v>383</v>
      </c>
      <c r="BQ48" s="513">
        <f t="shared" si="38"/>
        <v>0</v>
      </c>
      <c r="BR48" s="767" t="s">
        <v>383</v>
      </c>
      <c r="BS48" s="768" t="s">
        <v>383</v>
      </c>
      <c r="BT48" s="488">
        <v>119.38</v>
      </c>
      <c r="BU48" s="489">
        <v>73.713300000000004</v>
      </c>
      <c r="BV48" s="490">
        <v>119.38</v>
      </c>
      <c r="BW48" s="491">
        <v>-23.293329999999997</v>
      </c>
      <c r="BX48" s="488">
        <v>1.456</v>
      </c>
      <c r="BY48" s="490">
        <v>0.73466670000000001</v>
      </c>
      <c r="BZ48" s="490">
        <v>1.456</v>
      </c>
      <c r="CA48" s="491">
        <v>0.11333330000000008</v>
      </c>
      <c r="CB48" s="257" t="s">
        <v>383</v>
      </c>
      <c r="CC48" s="94" t="s">
        <v>383</v>
      </c>
      <c r="CD48" s="495" t="s">
        <v>383</v>
      </c>
      <c r="CE48" s="94" t="s">
        <v>383</v>
      </c>
      <c r="CF48" s="95" t="s">
        <v>383</v>
      </c>
      <c r="CG48" s="52"/>
    </row>
    <row r="49" spans="1:85" ht="30" customHeight="1" thickBot="1" x14ac:dyDescent="0.35">
      <c r="A49" s="60" t="str">
        <f t="shared" si="0"/>
        <v>Unitil</v>
      </c>
      <c r="B49" s="66" t="s">
        <v>383</v>
      </c>
      <c r="C49" s="66" t="s">
        <v>383</v>
      </c>
      <c r="D49" s="58" t="s">
        <v>418</v>
      </c>
      <c r="E49" s="58" t="s">
        <v>418</v>
      </c>
      <c r="F49" s="496"/>
      <c r="G49" s="496"/>
      <c r="H49" s="497"/>
      <c r="I49" s="529"/>
      <c r="J49" s="496"/>
      <c r="K49" s="496" t="s">
        <v>456</v>
      </c>
      <c r="L49" s="496"/>
      <c r="M49" s="496">
        <f>SUM(M47:M48)</f>
        <v>3123</v>
      </c>
      <c r="N49" s="583">
        <f>SUM(N47:N48)</f>
        <v>41435370.93017222</v>
      </c>
      <c r="O49" s="530"/>
      <c r="P49" s="496">
        <f>SUM(P47:P48)</f>
        <v>9.9130000000000003</v>
      </c>
      <c r="Q49" s="609"/>
      <c r="R49" s="531"/>
      <c r="S49" s="569"/>
      <c r="T49" s="569"/>
      <c r="U49" s="569"/>
      <c r="V49" s="569"/>
      <c r="W49" s="569"/>
      <c r="X49" s="569"/>
      <c r="Y49" s="569"/>
      <c r="Z49" s="569"/>
      <c r="AA49" s="569"/>
      <c r="AB49" s="569"/>
      <c r="AC49" s="569"/>
      <c r="AD49" s="569"/>
      <c r="AE49" s="569"/>
      <c r="AF49" s="569"/>
      <c r="AG49" s="569"/>
      <c r="AH49" s="569"/>
      <c r="AI49" s="569"/>
      <c r="AJ49" s="569"/>
      <c r="AK49" s="497"/>
      <c r="AL49" s="569"/>
      <c r="AM49" s="497"/>
      <c r="AN49" s="569"/>
      <c r="AO49" s="497"/>
      <c r="AP49" s="569"/>
      <c r="AQ49" s="497"/>
      <c r="AR49" s="492">
        <v>0</v>
      </c>
      <c r="AS49" s="493">
        <v>0</v>
      </c>
      <c r="AT49" s="493">
        <v>0</v>
      </c>
      <c r="AU49" s="493">
        <v>0</v>
      </c>
      <c r="AV49" s="493">
        <v>0</v>
      </c>
      <c r="AW49" s="493">
        <v>0</v>
      </c>
      <c r="AX49" s="493">
        <v>0</v>
      </c>
      <c r="AY49" s="494">
        <v>0</v>
      </c>
      <c r="AZ49" s="637">
        <f t="shared" si="15"/>
        <v>41435370.93017222</v>
      </c>
      <c r="BA49" s="84" t="s">
        <v>383</v>
      </c>
      <c r="BB49" s="638">
        <f t="shared" si="16"/>
        <v>9.9130000000000003</v>
      </c>
      <c r="BC49" s="22" t="s">
        <v>383</v>
      </c>
      <c r="BD49" s="639">
        <f t="shared" si="17"/>
        <v>1008.2141971820282</v>
      </c>
      <c r="BE49" s="126" t="s">
        <v>383</v>
      </c>
      <c r="BF49" s="129">
        <v>34.950000000000003</v>
      </c>
      <c r="BG49" s="221" t="s">
        <v>383</v>
      </c>
      <c r="BH49" s="640">
        <f t="shared" si="18"/>
        <v>7744.2708268491879</v>
      </c>
      <c r="BI49" s="221" t="s">
        <v>383</v>
      </c>
      <c r="BJ49" s="126"/>
      <c r="BK49" s="765">
        <f>'9. Pre-Investment Baselines'!AV43-BJ49</f>
        <v>2</v>
      </c>
      <c r="BL49" s="858">
        <f t="shared" si="67"/>
        <v>2</v>
      </c>
      <c r="BM49" s="94" t="s">
        <v>387</v>
      </c>
      <c r="BN49" s="127">
        <f t="shared" si="29"/>
        <v>0</v>
      </c>
      <c r="BO49" s="515"/>
      <c r="BP49" s="516"/>
      <c r="BQ49" s="517"/>
      <c r="BR49" s="767" t="s">
        <v>383</v>
      </c>
      <c r="BS49" s="768" t="s">
        <v>383</v>
      </c>
      <c r="BT49" s="488"/>
      <c r="BU49" s="489"/>
      <c r="BV49" s="490"/>
      <c r="BW49" s="491"/>
      <c r="BX49" s="488"/>
      <c r="BY49" s="490"/>
      <c r="BZ49" s="490"/>
      <c r="CA49" s="491"/>
      <c r="CB49" s="257" t="s">
        <v>383</v>
      </c>
      <c r="CC49" s="94" t="s">
        <v>383</v>
      </c>
      <c r="CD49" s="495" t="s">
        <v>383</v>
      </c>
      <c r="CE49" s="94" t="s">
        <v>383</v>
      </c>
      <c r="CF49" s="95" t="s">
        <v>383</v>
      </c>
      <c r="CG49" s="52"/>
    </row>
    <row r="50" spans="1:85" ht="30" customHeight="1" thickBot="1" x14ac:dyDescent="0.35">
      <c r="A50" s="60" t="str">
        <f t="shared" si="0"/>
        <v>Unitil</v>
      </c>
      <c r="B50" s="66" t="s">
        <v>383</v>
      </c>
      <c r="C50" s="66" t="s">
        <v>383</v>
      </c>
      <c r="D50" s="58" t="s">
        <v>422</v>
      </c>
      <c r="E50" s="58" t="s">
        <v>418</v>
      </c>
      <c r="F50" s="58" t="s">
        <v>423</v>
      </c>
      <c r="G50" s="58" t="s">
        <v>424</v>
      </c>
      <c r="H50" s="10" t="s">
        <v>387</v>
      </c>
      <c r="I50" s="14" t="s">
        <v>453</v>
      </c>
      <c r="J50" s="128" t="s">
        <v>454</v>
      </c>
      <c r="K50" s="526">
        <v>11.673883878949628</v>
      </c>
      <c r="L50" s="526">
        <v>6.2002521351590945</v>
      </c>
      <c r="M50" s="58">
        <v>1269</v>
      </c>
      <c r="N50" s="582">
        <v>9290354.253088275</v>
      </c>
      <c r="O50" s="527" t="s">
        <v>455</v>
      </c>
      <c r="P50" s="524">
        <v>2.1749999999999998</v>
      </c>
      <c r="Q50" s="608" t="s">
        <v>449</v>
      </c>
      <c r="R50" s="528" t="s">
        <v>449</v>
      </c>
      <c r="S50" s="18">
        <v>73</v>
      </c>
      <c r="T50" s="16">
        <f t="shared" si="5"/>
        <v>73</v>
      </c>
      <c r="U50" s="18">
        <v>0</v>
      </c>
      <c r="V50" s="16">
        <f t="shared" si="5"/>
        <v>0</v>
      </c>
      <c r="W50" s="18">
        <v>1</v>
      </c>
      <c r="X50" s="16">
        <f t="shared" ref="X50:X52" si="76">W50</f>
        <v>1</v>
      </c>
      <c r="Y50" s="18">
        <v>0</v>
      </c>
      <c r="Z50" s="10">
        <f t="shared" si="55"/>
        <v>0</v>
      </c>
      <c r="AA50" s="561">
        <v>445</v>
      </c>
      <c r="AB50" s="562">
        <f t="shared" ref="AB50:AB52" si="77">AA50</f>
        <v>445</v>
      </c>
      <c r="AC50" s="563"/>
      <c r="AD50" s="562">
        <f t="shared" ref="AD50:AD52" si="78">AC50</f>
        <v>0</v>
      </c>
      <c r="AE50" s="563">
        <v>100</v>
      </c>
      <c r="AF50" s="562">
        <f t="shared" ref="AF50:AF52" si="79">AE50</f>
        <v>100</v>
      </c>
      <c r="AG50" s="563"/>
      <c r="AH50" s="562"/>
      <c r="AI50" s="564">
        <f t="shared" si="10"/>
        <v>0.25057471264367814</v>
      </c>
      <c r="AJ50" s="565">
        <f t="shared" ref="AJ50:AK52" si="80">AA50*0.186*8760</f>
        <v>725065.2</v>
      </c>
      <c r="AK50" s="566">
        <f t="shared" si="80"/>
        <v>725065.2</v>
      </c>
      <c r="AL50" s="565">
        <f t="shared" ref="AL50:AM52" si="81">AC50*8760</f>
        <v>0</v>
      </c>
      <c r="AM50" s="565">
        <f t="shared" si="81"/>
        <v>0</v>
      </c>
      <c r="AN50" s="565">
        <f t="shared" ref="AN50:AO52" si="82">AE50*0.186*8760</f>
        <v>162936</v>
      </c>
      <c r="AO50" s="565">
        <f t="shared" si="82"/>
        <v>162936</v>
      </c>
      <c r="AP50" s="565">
        <f t="shared" ref="AP50:AQ52" si="83">AG50*0.046*8760</f>
        <v>0</v>
      </c>
      <c r="AQ50" s="565">
        <f t="shared" si="83"/>
        <v>0</v>
      </c>
      <c r="AR50" s="492">
        <v>0</v>
      </c>
      <c r="AS50" s="493">
        <v>0</v>
      </c>
      <c r="AT50" s="493">
        <v>0</v>
      </c>
      <c r="AU50" s="493">
        <v>0</v>
      </c>
      <c r="AV50" s="493">
        <v>0</v>
      </c>
      <c r="AW50" s="493">
        <v>0</v>
      </c>
      <c r="AX50" s="493">
        <v>0</v>
      </c>
      <c r="AY50" s="494">
        <v>0</v>
      </c>
      <c r="AZ50" s="637">
        <f t="shared" si="15"/>
        <v>9290354.253088275</v>
      </c>
      <c r="BA50" s="84" t="s">
        <v>383</v>
      </c>
      <c r="BB50" s="638">
        <f t="shared" si="16"/>
        <v>2.1749999999999998</v>
      </c>
      <c r="BC50" s="22" t="s">
        <v>383</v>
      </c>
      <c r="BD50" s="639">
        <f t="shared" si="17"/>
        <v>221.21112467173523</v>
      </c>
      <c r="BE50" s="126" t="s">
        <v>383</v>
      </c>
      <c r="BF50" s="129">
        <v>35.950000000000003</v>
      </c>
      <c r="BG50" s="221" t="s">
        <v>383</v>
      </c>
      <c r="BH50" s="640">
        <f t="shared" si="18"/>
        <v>1736.3672099021987</v>
      </c>
      <c r="BI50" s="221" t="s">
        <v>383</v>
      </c>
      <c r="BJ50" s="126">
        <v>0</v>
      </c>
      <c r="BK50" s="765">
        <f>'9. Pre-Investment Baselines'!AV44-BJ50</f>
        <v>0</v>
      </c>
      <c r="BL50" s="858">
        <f t="shared" si="67"/>
        <v>0</v>
      </c>
      <c r="BM50" s="94" t="s">
        <v>387</v>
      </c>
      <c r="BN50" s="127">
        <f t="shared" si="29"/>
        <v>0</v>
      </c>
      <c r="BO50" s="511" t="s">
        <v>387</v>
      </c>
      <c r="BP50" s="514" t="s">
        <v>383</v>
      </c>
      <c r="BQ50" s="513">
        <f t="shared" si="38"/>
        <v>0</v>
      </c>
      <c r="BR50" s="767" t="s">
        <v>383</v>
      </c>
      <c r="BS50" s="768" t="s">
        <v>383</v>
      </c>
      <c r="BT50" s="488">
        <v>1.0900000000000001</v>
      </c>
      <c r="BU50" s="489">
        <v>68.693330000000003</v>
      </c>
      <c r="BV50" s="490">
        <v>1.0900000000000001</v>
      </c>
      <c r="BW50" s="491">
        <v>2.7966670000000002</v>
      </c>
      <c r="BX50" s="488">
        <v>2.5000000000000001E-2</v>
      </c>
      <c r="BY50" s="490">
        <v>1.0433333</v>
      </c>
      <c r="BZ50" s="490">
        <v>2.5000000000000001E-2</v>
      </c>
      <c r="CA50" s="491">
        <v>4.3333299999999998E-2</v>
      </c>
      <c r="CB50" s="257" t="s">
        <v>383</v>
      </c>
      <c r="CC50" s="94" t="s">
        <v>383</v>
      </c>
      <c r="CD50" s="495" t="s">
        <v>383</v>
      </c>
      <c r="CE50" s="94" t="s">
        <v>383</v>
      </c>
      <c r="CF50" s="95" t="s">
        <v>383</v>
      </c>
      <c r="CG50" s="52"/>
    </row>
    <row r="51" spans="1:85" ht="30" customHeight="1" thickBot="1" x14ac:dyDescent="0.35">
      <c r="A51" s="60" t="str">
        <f t="shared" si="0"/>
        <v>Unitil</v>
      </c>
      <c r="B51" s="66" t="s">
        <v>383</v>
      </c>
      <c r="C51" s="66" t="s">
        <v>383</v>
      </c>
      <c r="D51" s="58" t="s">
        <v>422</v>
      </c>
      <c r="E51" s="58" t="s">
        <v>418</v>
      </c>
      <c r="F51" s="58" t="s">
        <v>425</v>
      </c>
      <c r="G51" s="58" t="s">
        <v>424</v>
      </c>
      <c r="H51" s="10" t="s">
        <v>387</v>
      </c>
      <c r="I51" s="14" t="s">
        <v>453</v>
      </c>
      <c r="J51" s="128" t="s">
        <v>454</v>
      </c>
      <c r="K51" s="526">
        <v>10.612621708136027</v>
      </c>
      <c r="L51" s="526">
        <v>22.797799354462125</v>
      </c>
      <c r="M51" s="58">
        <v>1246</v>
      </c>
      <c r="N51" s="582">
        <v>16320255.074206058</v>
      </c>
      <c r="O51" s="527" t="s">
        <v>455</v>
      </c>
      <c r="P51" s="524">
        <v>4.0910000000000002</v>
      </c>
      <c r="Q51" s="608" t="s">
        <v>448</v>
      </c>
      <c r="R51" s="528" t="s">
        <v>449</v>
      </c>
      <c r="S51" s="18">
        <v>179</v>
      </c>
      <c r="T51" s="16">
        <f t="shared" si="5"/>
        <v>179</v>
      </c>
      <c r="U51" s="18">
        <v>0</v>
      </c>
      <c r="V51" s="16">
        <f t="shared" si="5"/>
        <v>0</v>
      </c>
      <c r="W51" s="18">
        <v>1</v>
      </c>
      <c r="X51" s="16">
        <f t="shared" si="76"/>
        <v>1</v>
      </c>
      <c r="Y51" s="18">
        <v>0</v>
      </c>
      <c r="Z51" s="10">
        <f t="shared" si="55"/>
        <v>0</v>
      </c>
      <c r="AA51" s="561">
        <v>10002</v>
      </c>
      <c r="AB51" s="562">
        <f t="shared" si="77"/>
        <v>10002</v>
      </c>
      <c r="AC51" s="563"/>
      <c r="AD51" s="562">
        <f t="shared" si="78"/>
        <v>0</v>
      </c>
      <c r="AE51" s="563"/>
      <c r="AF51" s="562">
        <f t="shared" si="79"/>
        <v>0</v>
      </c>
      <c r="AG51" s="563"/>
      <c r="AH51" s="562"/>
      <c r="AI51" s="564">
        <f t="shared" si="10"/>
        <v>2.444879002688829</v>
      </c>
      <c r="AJ51" s="565">
        <f t="shared" si="80"/>
        <v>16296858.720000001</v>
      </c>
      <c r="AK51" s="566">
        <f t="shared" si="80"/>
        <v>16296858.720000001</v>
      </c>
      <c r="AL51" s="565">
        <f t="shared" si="81"/>
        <v>0</v>
      </c>
      <c r="AM51" s="565">
        <f t="shared" si="81"/>
        <v>0</v>
      </c>
      <c r="AN51" s="565">
        <f t="shared" si="82"/>
        <v>0</v>
      </c>
      <c r="AO51" s="565">
        <f t="shared" si="82"/>
        <v>0</v>
      </c>
      <c r="AP51" s="565">
        <f t="shared" si="83"/>
        <v>0</v>
      </c>
      <c r="AQ51" s="565">
        <f t="shared" si="83"/>
        <v>0</v>
      </c>
      <c r="AR51" s="492">
        <v>0</v>
      </c>
      <c r="AS51" s="493">
        <v>0</v>
      </c>
      <c r="AT51" s="493">
        <v>0</v>
      </c>
      <c r="AU51" s="493">
        <v>0</v>
      </c>
      <c r="AV51" s="493">
        <v>0</v>
      </c>
      <c r="AW51" s="493">
        <v>0</v>
      </c>
      <c r="AX51" s="493">
        <v>0</v>
      </c>
      <c r="AY51" s="494">
        <v>0</v>
      </c>
      <c r="AZ51" s="637">
        <f t="shared" si="15"/>
        <v>16320255.074206058</v>
      </c>
      <c r="BA51" s="84" t="s">
        <v>383</v>
      </c>
      <c r="BB51" s="638">
        <f t="shared" si="16"/>
        <v>4.0910000000000002</v>
      </c>
      <c r="BC51" s="22" t="s">
        <v>383</v>
      </c>
      <c r="BD51" s="639">
        <f t="shared" si="17"/>
        <v>416.08032691129608</v>
      </c>
      <c r="BE51" s="126" t="s">
        <v>383</v>
      </c>
      <c r="BF51" s="129">
        <v>36.950000000000003</v>
      </c>
      <c r="BG51" s="221" t="s">
        <v>383</v>
      </c>
      <c r="BH51" s="640">
        <f t="shared" si="18"/>
        <v>3050.2556733691122</v>
      </c>
      <c r="BI51" s="221" t="s">
        <v>383</v>
      </c>
      <c r="BJ51" s="126">
        <v>4</v>
      </c>
      <c r="BK51" s="765">
        <f>'9. Pre-Investment Baselines'!AV45-BJ51</f>
        <v>-2.333333333333333</v>
      </c>
      <c r="BL51" s="858">
        <f t="shared" si="67"/>
        <v>1.666666666666667</v>
      </c>
      <c r="BM51" s="94" t="s">
        <v>387</v>
      </c>
      <c r="BN51" s="127">
        <f t="shared" si="29"/>
        <v>0</v>
      </c>
      <c r="BO51" s="511" t="s">
        <v>387</v>
      </c>
      <c r="BP51" s="514" t="s">
        <v>383</v>
      </c>
      <c r="BQ51" s="513">
        <f t="shared" si="38"/>
        <v>0</v>
      </c>
      <c r="BR51" s="767" t="s">
        <v>383</v>
      </c>
      <c r="BS51" s="768" t="s">
        <v>383</v>
      </c>
      <c r="BT51" s="488">
        <v>24.53</v>
      </c>
      <c r="BU51" s="489">
        <v>212.98329999999999</v>
      </c>
      <c r="BV51" s="490">
        <v>24.53</v>
      </c>
      <c r="BW51" s="491">
        <v>57.563329999999993</v>
      </c>
      <c r="BX51" s="488">
        <v>0.71399999999999997</v>
      </c>
      <c r="BY51" s="490">
        <v>2.1933332999999999</v>
      </c>
      <c r="BZ51" s="490">
        <v>0.71399999999999997</v>
      </c>
      <c r="CA51" s="491">
        <v>0.80066670000000006</v>
      </c>
      <c r="CB51" s="257" t="s">
        <v>383</v>
      </c>
      <c r="CC51" s="94" t="s">
        <v>383</v>
      </c>
      <c r="CD51" s="495" t="s">
        <v>383</v>
      </c>
      <c r="CE51" s="94" t="s">
        <v>383</v>
      </c>
      <c r="CF51" s="95" t="s">
        <v>383</v>
      </c>
      <c r="CG51" s="52"/>
    </row>
    <row r="52" spans="1:85" ht="30" customHeight="1" x14ac:dyDescent="0.3">
      <c r="A52" s="60" t="str">
        <f t="shared" si="0"/>
        <v>Unitil</v>
      </c>
      <c r="B52" s="66" t="s">
        <v>383</v>
      </c>
      <c r="C52" s="66" t="s">
        <v>383</v>
      </c>
      <c r="D52" s="58" t="s">
        <v>422</v>
      </c>
      <c r="E52" s="58" t="s">
        <v>418</v>
      </c>
      <c r="F52" s="58" t="s">
        <v>426</v>
      </c>
      <c r="G52" s="58" t="s">
        <v>418</v>
      </c>
      <c r="H52" s="10" t="s">
        <v>387</v>
      </c>
      <c r="I52" s="14" t="s">
        <v>453</v>
      </c>
      <c r="J52" s="128" t="s">
        <v>454</v>
      </c>
      <c r="K52" s="526">
        <v>13.26577713517003</v>
      </c>
      <c r="L52" s="526">
        <v>18.674093194314395</v>
      </c>
      <c r="M52" s="58">
        <v>1275</v>
      </c>
      <c r="N52" s="582">
        <v>12328152.919507567</v>
      </c>
      <c r="O52" s="527" t="s">
        <v>455</v>
      </c>
      <c r="P52" s="524">
        <v>2.98</v>
      </c>
      <c r="Q52" s="608" t="s">
        <v>448</v>
      </c>
      <c r="R52" s="528" t="s">
        <v>449</v>
      </c>
      <c r="S52" s="18">
        <v>118</v>
      </c>
      <c r="T52" s="16">
        <f t="shared" si="5"/>
        <v>118</v>
      </c>
      <c r="U52" s="18">
        <v>0</v>
      </c>
      <c r="V52" s="16">
        <f t="shared" si="5"/>
        <v>0</v>
      </c>
      <c r="W52" s="18">
        <v>2</v>
      </c>
      <c r="X52" s="16">
        <f t="shared" si="76"/>
        <v>2</v>
      </c>
      <c r="Y52" s="18">
        <v>0</v>
      </c>
      <c r="Z52" s="10">
        <f t="shared" si="55"/>
        <v>0</v>
      </c>
      <c r="AA52" s="561">
        <v>2153</v>
      </c>
      <c r="AB52" s="562">
        <f t="shared" si="77"/>
        <v>2153</v>
      </c>
      <c r="AC52" s="563"/>
      <c r="AD52" s="562">
        <f t="shared" si="78"/>
        <v>0</v>
      </c>
      <c r="AE52" s="563">
        <v>999</v>
      </c>
      <c r="AF52" s="562">
        <f t="shared" si="79"/>
        <v>999</v>
      </c>
      <c r="AG52" s="563"/>
      <c r="AH52" s="562"/>
      <c r="AI52" s="564">
        <f t="shared" si="10"/>
        <v>1.0577181208053692</v>
      </c>
      <c r="AJ52" s="565">
        <f t="shared" si="80"/>
        <v>3508012.0799999996</v>
      </c>
      <c r="AK52" s="566">
        <f t="shared" si="80"/>
        <v>3508012.0799999996</v>
      </c>
      <c r="AL52" s="565">
        <f t="shared" si="81"/>
        <v>0</v>
      </c>
      <c r="AM52" s="565">
        <f t="shared" si="81"/>
        <v>0</v>
      </c>
      <c r="AN52" s="565">
        <f t="shared" si="82"/>
        <v>1627730.64</v>
      </c>
      <c r="AO52" s="565">
        <f t="shared" si="82"/>
        <v>1627730.64</v>
      </c>
      <c r="AP52" s="565">
        <f t="shared" si="83"/>
        <v>0</v>
      </c>
      <c r="AQ52" s="565">
        <f t="shared" si="83"/>
        <v>0</v>
      </c>
      <c r="AR52" s="492">
        <v>0</v>
      </c>
      <c r="AS52" s="493">
        <v>0</v>
      </c>
      <c r="AT52" s="493">
        <v>0</v>
      </c>
      <c r="AU52" s="493">
        <v>0</v>
      </c>
      <c r="AV52" s="493">
        <v>0</v>
      </c>
      <c r="AW52" s="493">
        <v>0</v>
      </c>
      <c r="AX52" s="493">
        <v>0</v>
      </c>
      <c r="AY52" s="494">
        <v>0</v>
      </c>
      <c r="AZ52" s="637">
        <f t="shared" si="15"/>
        <v>12328152.919507567</v>
      </c>
      <c r="BA52" s="84" t="s">
        <v>383</v>
      </c>
      <c r="BB52" s="638">
        <f t="shared" si="16"/>
        <v>2.98</v>
      </c>
      <c r="BC52" s="22" t="s">
        <v>383</v>
      </c>
      <c r="BD52" s="639">
        <f t="shared" si="17"/>
        <v>303.08466736633153</v>
      </c>
      <c r="BE52" s="126" t="s">
        <v>383</v>
      </c>
      <c r="BF52" s="129">
        <v>37.950000000000003</v>
      </c>
      <c r="BG52" s="221" t="s">
        <v>383</v>
      </c>
      <c r="BH52" s="640">
        <f t="shared" si="18"/>
        <v>2304.1317806559646</v>
      </c>
      <c r="BI52" s="221" t="s">
        <v>383</v>
      </c>
      <c r="BJ52" s="126">
        <v>1</v>
      </c>
      <c r="BK52" s="765">
        <f>'9. Pre-Investment Baselines'!AV46-BJ52</f>
        <v>0.66666666666666674</v>
      </c>
      <c r="BL52" s="858">
        <f t="shared" si="67"/>
        <v>1.6666666666666667</v>
      </c>
      <c r="BM52" s="94" t="s">
        <v>387</v>
      </c>
      <c r="BN52" s="127">
        <f t="shared" si="29"/>
        <v>0</v>
      </c>
      <c r="BO52" s="511" t="s">
        <v>387</v>
      </c>
      <c r="BP52" s="514" t="s">
        <v>383</v>
      </c>
      <c r="BQ52" s="513">
        <f t="shared" si="38"/>
        <v>0</v>
      </c>
      <c r="BR52" s="767" t="s">
        <v>383</v>
      </c>
      <c r="BS52" s="768" t="s">
        <v>383</v>
      </c>
      <c r="BT52" s="488">
        <v>12.97</v>
      </c>
      <c r="BU52" s="489">
        <v>202.21</v>
      </c>
      <c r="BV52" s="490">
        <v>12.97</v>
      </c>
      <c r="BW52" s="491">
        <v>27.310000000000002</v>
      </c>
      <c r="BX52" s="488">
        <v>0.35799999999999998</v>
      </c>
      <c r="BY52" s="490">
        <v>1.7136667000000001</v>
      </c>
      <c r="BZ52" s="490">
        <v>0.35799999999999998</v>
      </c>
      <c r="CA52" s="491">
        <v>0.29866670000000006</v>
      </c>
      <c r="CB52" s="257" t="s">
        <v>383</v>
      </c>
      <c r="CC52" s="94" t="s">
        <v>383</v>
      </c>
      <c r="CD52" s="495" t="s">
        <v>383</v>
      </c>
      <c r="CE52" s="94" t="s">
        <v>383</v>
      </c>
      <c r="CF52" s="95" t="s">
        <v>383</v>
      </c>
      <c r="CG52" s="52"/>
    </row>
    <row r="53" spans="1:85" ht="30" customHeight="1" thickBot="1" x14ac:dyDescent="0.35">
      <c r="A53" s="60" t="str">
        <f t="shared" si="0"/>
        <v>Unitil</v>
      </c>
      <c r="B53" s="66" t="s">
        <v>383</v>
      </c>
      <c r="C53" s="66" t="s">
        <v>383</v>
      </c>
      <c r="D53" s="58" t="s">
        <v>422</v>
      </c>
      <c r="E53" s="58" t="s">
        <v>418</v>
      </c>
      <c r="F53" s="496"/>
      <c r="G53" s="496"/>
      <c r="H53" s="497"/>
      <c r="I53" s="529"/>
      <c r="J53" s="496"/>
      <c r="K53" s="496" t="s">
        <v>456</v>
      </c>
      <c r="L53" s="496"/>
      <c r="M53" s="496">
        <f>SUM(M50:M52)</f>
        <v>3790</v>
      </c>
      <c r="N53" s="583">
        <f>SUM(N50:N52)</f>
        <v>37938762.246801898</v>
      </c>
      <c r="O53" s="530"/>
      <c r="P53" s="496">
        <f>SUM(P50:P52)</f>
        <v>9.2460000000000004</v>
      </c>
      <c r="Q53" s="609"/>
      <c r="R53" s="531"/>
      <c r="S53" s="569"/>
      <c r="T53" s="569"/>
      <c r="U53" s="569"/>
      <c r="V53" s="569"/>
      <c r="W53" s="569"/>
      <c r="X53" s="569"/>
      <c r="Y53" s="569"/>
      <c r="Z53" s="569"/>
      <c r="AA53" s="569"/>
      <c r="AB53" s="569"/>
      <c r="AC53" s="569"/>
      <c r="AD53" s="569"/>
      <c r="AE53" s="569"/>
      <c r="AF53" s="569"/>
      <c r="AG53" s="569"/>
      <c r="AH53" s="569"/>
      <c r="AI53" s="569"/>
      <c r="AJ53" s="569"/>
      <c r="AK53" s="497"/>
      <c r="AL53" s="569"/>
      <c r="AM53" s="497"/>
      <c r="AN53" s="569"/>
      <c r="AO53" s="497"/>
      <c r="AP53" s="569"/>
      <c r="AQ53" s="497"/>
      <c r="AR53" s="492">
        <v>0</v>
      </c>
      <c r="AS53" s="493">
        <v>0</v>
      </c>
      <c r="AT53" s="493">
        <v>0</v>
      </c>
      <c r="AU53" s="493">
        <v>0</v>
      </c>
      <c r="AV53" s="493">
        <v>0</v>
      </c>
      <c r="AW53" s="493">
        <v>0</v>
      </c>
      <c r="AX53" s="493">
        <v>0</v>
      </c>
      <c r="AY53" s="494">
        <v>0</v>
      </c>
      <c r="AZ53" s="637">
        <f t="shared" si="15"/>
        <v>37938762.246801898</v>
      </c>
      <c r="BA53" s="84" t="s">
        <v>383</v>
      </c>
      <c r="BB53" s="638">
        <f t="shared" si="16"/>
        <v>9.2460000000000004</v>
      </c>
      <c r="BC53" s="22" t="s">
        <v>383</v>
      </c>
      <c r="BD53" s="639">
        <f t="shared" si="17"/>
        <v>940.37611894936276</v>
      </c>
      <c r="BE53" s="126" t="s">
        <v>383</v>
      </c>
      <c r="BF53" s="129">
        <v>38.950000000000003</v>
      </c>
      <c r="BG53" s="221" t="s">
        <v>383</v>
      </c>
      <c r="BH53" s="640">
        <f t="shared" si="18"/>
        <v>7090.754663927275</v>
      </c>
      <c r="BI53" s="221" t="s">
        <v>383</v>
      </c>
      <c r="BJ53" s="126"/>
      <c r="BK53" s="765">
        <f>'9. Pre-Investment Baselines'!AV47-BJ53</f>
        <v>1.3333333333333333</v>
      </c>
      <c r="BL53" s="858">
        <f t="shared" si="67"/>
        <v>1.3333333333333333</v>
      </c>
      <c r="BM53" s="94" t="s">
        <v>387</v>
      </c>
      <c r="BN53" s="127">
        <f t="shared" si="29"/>
        <v>0</v>
      </c>
      <c r="BO53" s="515"/>
      <c r="BP53" s="516"/>
      <c r="BQ53" s="517"/>
      <c r="BR53" s="767" t="s">
        <v>383</v>
      </c>
      <c r="BS53" s="768" t="s">
        <v>383</v>
      </c>
      <c r="BT53" s="488"/>
      <c r="BU53" s="489"/>
      <c r="BV53" s="490"/>
      <c r="BW53" s="491"/>
      <c r="BX53" s="488"/>
      <c r="BY53" s="490"/>
      <c r="BZ53" s="490"/>
      <c r="CA53" s="491"/>
      <c r="CB53" s="257" t="s">
        <v>383</v>
      </c>
      <c r="CC53" s="94" t="s">
        <v>383</v>
      </c>
      <c r="CD53" s="495" t="s">
        <v>383</v>
      </c>
      <c r="CE53" s="94" t="s">
        <v>383</v>
      </c>
      <c r="CF53" s="95" t="s">
        <v>383</v>
      </c>
      <c r="CG53" s="52"/>
    </row>
    <row r="54" spans="1:85" ht="30" customHeight="1" x14ac:dyDescent="0.3">
      <c r="A54" s="60" t="str">
        <f t="shared" si="0"/>
        <v>Unitil</v>
      </c>
      <c r="B54" s="66" t="s">
        <v>383</v>
      </c>
      <c r="C54" s="66" t="s">
        <v>383</v>
      </c>
      <c r="D54" s="58" t="s">
        <v>427</v>
      </c>
      <c r="E54" s="58" t="s">
        <v>385</v>
      </c>
      <c r="F54" s="58" t="s">
        <v>428</v>
      </c>
      <c r="G54" s="58" t="s">
        <v>429</v>
      </c>
      <c r="H54" s="10" t="s">
        <v>387</v>
      </c>
      <c r="I54" s="14" t="s">
        <v>453</v>
      </c>
      <c r="J54" s="128" t="s">
        <v>454</v>
      </c>
      <c r="K54" s="526">
        <v>7.0750811387573496</v>
      </c>
      <c r="L54" s="526">
        <v>22.870542880617403</v>
      </c>
      <c r="M54" s="58">
        <v>796</v>
      </c>
      <c r="N54" s="582">
        <v>11651626.412419671</v>
      </c>
      <c r="O54" s="527" t="s">
        <v>455</v>
      </c>
      <c r="P54" s="524">
        <v>10.029999999999999</v>
      </c>
      <c r="Q54" s="608" t="s">
        <v>448</v>
      </c>
      <c r="R54" s="528" t="s">
        <v>449</v>
      </c>
      <c r="S54" s="18">
        <v>130</v>
      </c>
      <c r="T54" s="16">
        <f t="shared" si="5"/>
        <v>130</v>
      </c>
      <c r="U54" s="18">
        <v>0</v>
      </c>
      <c r="V54" s="16">
        <f t="shared" si="5"/>
        <v>0</v>
      </c>
      <c r="W54" s="18">
        <v>1</v>
      </c>
      <c r="X54" s="16">
        <f t="shared" ref="X54" si="84">W54</f>
        <v>1</v>
      </c>
      <c r="Y54" s="18">
        <v>0</v>
      </c>
      <c r="Z54" s="10">
        <f t="shared" si="55"/>
        <v>0</v>
      </c>
      <c r="AA54" s="561">
        <v>6708</v>
      </c>
      <c r="AB54" s="562">
        <f t="shared" ref="AB54" si="85">AA54</f>
        <v>6708</v>
      </c>
      <c r="AC54" s="563"/>
      <c r="AD54" s="562">
        <f t="shared" ref="AD54" si="86">AC54</f>
        <v>0</v>
      </c>
      <c r="AE54" s="563"/>
      <c r="AF54" s="562">
        <f t="shared" ref="AF54" si="87">AE54</f>
        <v>0</v>
      </c>
      <c r="AG54" s="563"/>
      <c r="AH54" s="562"/>
      <c r="AI54" s="564">
        <f t="shared" si="10"/>
        <v>0.66879361914257229</v>
      </c>
      <c r="AJ54" s="565">
        <f>AA54*0.186*8760</f>
        <v>10929746.880000001</v>
      </c>
      <c r="AK54" s="566">
        <f>AB54*0.186*8760</f>
        <v>10929746.880000001</v>
      </c>
      <c r="AL54" s="565">
        <f>AC54*8760</f>
        <v>0</v>
      </c>
      <c r="AM54" s="565">
        <f>AD54*8760</f>
        <v>0</v>
      </c>
      <c r="AN54" s="565">
        <f>AE54*0.186*8760</f>
        <v>0</v>
      </c>
      <c r="AO54" s="565">
        <f>AF54*0.186*8760</f>
        <v>0</v>
      </c>
      <c r="AP54" s="565">
        <f>AG54*0.046*8760</f>
        <v>0</v>
      </c>
      <c r="AQ54" s="565">
        <f>AH54*0.046*8760</f>
        <v>0</v>
      </c>
      <c r="AR54" s="492">
        <v>0</v>
      </c>
      <c r="AS54" s="493">
        <v>0</v>
      </c>
      <c r="AT54" s="493">
        <v>0</v>
      </c>
      <c r="AU54" s="493">
        <v>0</v>
      </c>
      <c r="AV54" s="493">
        <v>0</v>
      </c>
      <c r="AW54" s="493">
        <v>0</v>
      </c>
      <c r="AX54" s="493">
        <v>0</v>
      </c>
      <c r="AY54" s="494">
        <v>0</v>
      </c>
      <c r="AZ54" s="637">
        <f t="shared" si="15"/>
        <v>11651626.412419671</v>
      </c>
      <c r="BA54" s="84" t="s">
        <v>383</v>
      </c>
      <c r="BB54" s="638">
        <f t="shared" si="16"/>
        <v>10.029999999999999</v>
      </c>
      <c r="BC54" s="22" t="s">
        <v>383</v>
      </c>
      <c r="BD54" s="639">
        <f t="shared" si="17"/>
        <v>1020.1138300954042</v>
      </c>
      <c r="BE54" s="126" t="s">
        <v>383</v>
      </c>
      <c r="BF54" s="129">
        <v>39.950000000000003</v>
      </c>
      <c r="BG54" s="221" t="s">
        <v>383</v>
      </c>
      <c r="BH54" s="640">
        <f t="shared" si="18"/>
        <v>2177.6889764812368</v>
      </c>
      <c r="BI54" s="221" t="s">
        <v>383</v>
      </c>
      <c r="BJ54" s="126">
        <v>1</v>
      </c>
      <c r="BK54" s="765">
        <f>'9. Pre-Investment Baselines'!AV48-BJ54</f>
        <v>-1</v>
      </c>
      <c r="BL54" s="858">
        <f t="shared" si="67"/>
        <v>0</v>
      </c>
      <c r="BM54" s="94" t="s">
        <v>387</v>
      </c>
      <c r="BN54" s="127">
        <f t="shared" si="29"/>
        <v>0</v>
      </c>
      <c r="BO54" s="511" t="s">
        <v>387</v>
      </c>
      <c r="BP54" s="514" t="s">
        <v>383</v>
      </c>
      <c r="BQ54" s="513">
        <f t="shared" si="38"/>
        <v>0</v>
      </c>
      <c r="BR54" s="767" t="s">
        <v>383</v>
      </c>
      <c r="BS54" s="768" t="s">
        <v>383</v>
      </c>
      <c r="BT54" s="488">
        <v>87.31</v>
      </c>
      <c r="BU54" s="489">
        <v>102.41329999999999</v>
      </c>
      <c r="BV54" s="490">
        <v>87.31</v>
      </c>
      <c r="BW54" s="491">
        <v>-45.943330000000003</v>
      </c>
      <c r="BX54" s="488">
        <v>1.3009999999999999</v>
      </c>
      <c r="BY54" s="490">
        <v>0.2370000000000001</v>
      </c>
      <c r="BZ54" s="490">
        <v>1.3009999999999999</v>
      </c>
      <c r="CA54" s="491">
        <v>-0.64333329999999989</v>
      </c>
      <c r="CB54" s="257" t="s">
        <v>383</v>
      </c>
      <c r="CC54" s="94" t="s">
        <v>383</v>
      </c>
      <c r="CD54" s="495" t="s">
        <v>383</v>
      </c>
      <c r="CE54" s="94" t="s">
        <v>383</v>
      </c>
      <c r="CF54" s="95" t="s">
        <v>383</v>
      </c>
      <c r="CG54" s="52"/>
    </row>
    <row r="55" spans="1:85" ht="30" customHeight="1" thickBot="1" x14ac:dyDescent="0.35">
      <c r="A55" s="60" t="str">
        <f t="shared" si="0"/>
        <v>Unitil</v>
      </c>
      <c r="B55" s="66" t="s">
        <v>383</v>
      </c>
      <c r="C55" s="66" t="s">
        <v>383</v>
      </c>
      <c r="D55" s="58" t="s">
        <v>427</v>
      </c>
      <c r="E55" s="58" t="s">
        <v>385</v>
      </c>
      <c r="F55" s="496"/>
      <c r="G55" s="496"/>
      <c r="H55" s="497"/>
      <c r="I55" s="529"/>
      <c r="J55" s="496"/>
      <c r="K55" s="496" t="s">
        <v>456</v>
      </c>
      <c r="L55" s="496" t="s">
        <v>456</v>
      </c>
      <c r="M55" s="496">
        <f>SUM(M54)</f>
        <v>796</v>
      </c>
      <c r="N55" s="583">
        <f>SUM(N54)</f>
        <v>11651626.412419671</v>
      </c>
      <c r="O55" s="530"/>
      <c r="P55" s="496">
        <f>SUM(P54)</f>
        <v>10.029999999999999</v>
      </c>
      <c r="Q55" s="609"/>
      <c r="R55" s="531"/>
      <c r="S55" s="569"/>
      <c r="T55" s="569"/>
      <c r="U55" s="569"/>
      <c r="V55" s="569"/>
      <c r="W55" s="569"/>
      <c r="X55" s="569"/>
      <c r="Y55" s="569"/>
      <c r="Z55" s="569"/>
      <c r="AA55" s="569"/>
      <c r="AB55" s="569"/>
      <c r="AC55" s="569"/>
      <c r="AD55" s="569"/>
      <c r="AE55" s="569"/>
      <c r="AF55" s="569"/>
      <c r="AG55" s="569"/>
      <c r="AH55" s="569"/>
      <c r="AI55" s="569"/>
      <c r="AJ55" s="569"/>
      <c r="AK55" s="497"/>
      <c r="AL55" s="569"/>
      <c r="AM55" s="497"/>
      <c r="AN55" s="569"/>
      <c r="AO55" s="497"/>
      <c r="AP55" s="569"/>
      <c r="AQ55" s="497"/>
      <c r="AR55" s="492">
        <v>0</v>
      </c>
      <c r="AS55" s="493">
        <v>0</v>
      </c>
      <c r="AT55" s="493">
        <v>0</v>
      </c>
      <c r="AU55" s="493">
        <v>0</v>
      </c>
      <c r="AV55" s="493">
        <v>0</v>
      </c>
      <c r="AW55" s="493">
        <v>0</v>
      </c>
      <c r="AX55" s="493">
        <v>0</v>
      </c>
      <c r="AY55" s="494">
        <v>0</v>
      </c>
      <c r="AZ55" s="637">
        <f t="shared" si="15"/>
        <v>11651626.412419671</v>
      </c>
      <c r="BA55" s="84" t="s">
        <v>383</v>
      </c>
      <c r="BB55" s="638">
        <f t="shared" si="16"/>
        <v>10.029999999999999</v>
      </c>
      <c r="BC55" s="22" t="s">
        <v>383</v>
      </c>
      <c r="BD55" s="639">
        <f t="shared" si="17"/>
        <v>1020.1138300954042</v>
      </c>
      <c r="BE55" s="126" t="s">
        <v>383</v>
      </c>
      <c r="BF55" s="129">
        <v>40.950000000000003</v>
      </c>
      <c r="BG55" s="221" t="s">
        <v>383</v>
      </c>
      <c r="BH55" s="640">
        <f t="shared" si="18"/>
        <v>2177.6889764812368</v>
      </c>
      <c r="BI55" s="221" t="s">
        <v>383</v>
      </c>
      <c r="BJ55" s="126"/>
      <c r="BK55" s="765">
        <f>'9. Pre-Investment Baselines'!AV49-BJ55</f>
        <v>1.6666666666666667</v>
      </c>
      <c r="BL55" s="858">
        <f t="shared" si="67"/>
        <v>1.6666666666666667</v>
      </c>
      <c r="BM55" s="94" t="s">
        <v>387</v>
      </c>
      <c r="BN55" s="127">
        <f t="shared" si="29"/>
        <v>0</v>
      </c>
      <c r="BO55" s="515"/>
      <c r="BP55" s="516"/>
      <c r="BQ55" s="517"/>
      <c r="BR55" s="767" t="s">
        <v>383</v>
      </c>
      <c r="BS55" s="768" t="s">
        <v>383</v>
      </c>
      <c r="BT55" s="488"/>
      <c r="BU55" s="489"/>
      <c r="BV55" s="490"/>
      <c r="BW55" s="491"/>
      <c r="BX55" s="488"/>
      <c r="BY55" s="490"/>
      <c r="BZ55" s="490"/>
      <c r="CA55" s="491"/>
      <c r="CB55" s="257" t="s">
        <v>383</v>
      </c>
      <c r="CC55" s="94" t="s">
        <v>383</v>
      </c>
      <c r="CD55" s="495" t="s">
        <v>383</v>
      </c>
      <c r="CE55" s="94" t="s">
        <v>383</v>
      </c>
      <c r="CF55" s="95" t="s">
        <v>383</v>
      </c>
      <c r="CG55" s="52"/>
    </row>
    <row r="56" spans="1:85" ht="30" customHeight="1" thickBot="1" x14ac:dyDescent="0.35">
      <c r="A56" s="60" t="str">
        <f t="shared" si="0"/>
        <v>Unitil</v>
      </c>
      <c r="B56" s="66" t="s">
        <v>383</v>
      </c>
      <c r="C56" s="66" t="s">
        <v>383</v>
      </c>
      <c r="D56" s="58" t="s">
        <v>430</v>
      </c>
      <c r="E56" s="58" t="s">
        <v>395</v>
      </c>
      <c r="F56" s="58" t="s">
        <v>431</v>
      </c>
      <c r="G56" s="58" t="s">
        <v>399</v>
      </c>
      <c r="H56" s="10" t="s">
        <v>387</v>
      </c>
      <c r="I56" s="14" t="s">
        <v>453</v>
      </c>
      <c r="J56" s="128" t="s">
        <v>454</v>
      </c>
      <c r="K56" s="526">
        <v>13.088900106701098</v>
      </c>
      <c r="L56" s="526">
        <v>51.589405273677976</v>
      </c>
      <c r="M56" s="58">
        <v>1974</v>
      </c>
      <c r="N56" s="582">
        <v>19185895.943412594</v>
      </c>
      <c r="O56" s="527" t="s">
        <v>455</v>
      </c>
      <c r="P56" s="524"/>
      <c r="Q56" s="608" t="s">
        <v>448</v>
      </c>
      <c r="R56" s="528" t="s">
        <v>449</v>
      </c>
      <c r="S56" s="18">
        <v>204</v>
      </c>
      <c r="T56" s="16">
        <f t="shared" si="5"/>
        <v>204</v>
      </c>
      <c r="U56" s="18">
        <v>0</v>
      </c>
      <c r="V56" s="16">
        <f t="shared" si="5"/>
        <v>0</v>
      </c>
      <c r="W56" s="18">
        <v>2</v>
      </c>
      <c r="X56" s="16">
        <f t="shared" ref="X56:X57" si="88">W56</f>
        <v>2</v>
      </c>
      <c r="Y56" s="18">
        <v>1</v>
      </c>
      <c r="Z56" s="10">
        <f t="shared" si="55"/>
        <v>1</v>
      </c>
      <c r="AA56" s="561">
        <v>3235</v>
      </c>
      <c r="AB56" s="562">
        <f t="shared" ref="AB56:AB57" si="89">AA56</f>
        <v>3235</v>
      </c>
      <c r="AC56" s="563"/>
      <c r="AD56" s="562">
        <f t="shared" ref="AD56:AD57" si="90">AC56</f>
        <v>0</v>
      </c>
      <c r="AE56" s="563">
        <v>9</v>
      </c>
      <c r="AF56" s="562">
        <f t="shared" ref="AF56:AF57" si="91">AE56</f>
        <v>9</v>
      </c>
      <c r="AG56" s="563"/>
      <c r="AH56" s="562"/>
      <c r="AI56" s="564"/>
      <c r="AJ56" s="565">
        <f t="shared" ref="AJ56:AK57" si="92">AA56*0.186*8760</f>
        <v>5270979.6000000006</v>
      </c>
      <c r="AK56" s="566">
        <f t="shared" si="92"/>
        <v>5270979.6000000006</v>
      </c>
      <c r="AL56" s="565">
        <f t="shared" ref="AL56:AM57" si="93">AC56*8760</f>
        <v>0</v>
      </c>
      <c r="AM56" s="565">
        <f t="shared" si="93"/>
        <v>0</v>
      </c>
      <c r="AN56" s="565">
        <f t="shared" ref="AN56:AO57" si="94">AE56*0.186*8760</f>
        <v>14664.24</v>
      </c>
      <c r="AO56" s="565">
        <f t="shared" si="94"/>
        <v>14664.24</v>
      </c>
      <c r="AP56" s="565">
        <f t="shared" ref="AP56:AQ57" si="95">AG56*0.046*8760</f>
        <v>0</v>
      </c>
      <c r="AQ56" s="565">
        <f t="shared" si="95"/>
        <v>0</v>
      </c>
      <c r="AR56" s="492">
        <v>0</v>
      </c>
      <c r="AS56" s="493">
        <v>0</v>
      </c>
      <c r="AT56" s="493">
        <v>0</v>
      </c>
      <c r="AU56" s="493">
        <v>0</v>
      </c>
      <c r="AV56" s="493">
        <v>0</v>
      </c>
      <c r="AW56" s="493">
        <v>0</v>
      </c>
      <c r="AX56" s="493">
        <v>0</v>
      </c>
      <c r="AY56" s="494">
        <v>0</v>
      </c>
      <c r="AZ56" s="637">
        <f t="shared" si="15"/>
        <v>19185895.943412594</v>
      </c>
      <c r="BA56" s="84" t="s">
        <v>383</v>
      </c>
      <c r="BB56" s="638">
        <f t="shared" si="16"/>
        <v>0</v>
      </c>
      <c r="BC56" s="22" t="s">
        <v>383</v>
      </c>
      <c r="BD56" s="639">
        <f t="shared" si="17"/>
        <v>0</v>
      </c>
      <c r="BE56" s="126" t="s">
        <v>383</v>
      </c>
      <c r="BF56" s="129">
        <v>41.95</v>
      </c>
      <c r="BG56" s="221" t="s">
        <v>383</v>
      </c>
      <c r="BH56" s="640">
        <f t="shared" si="18"/>
        <v>3585.8439518238138</v>
      </c>
      <c r="BI56" s="221" t="s">
        <v>383</v>
      </c>
      <c r="BJ56" s="126">
        <v>0</v>
      </c>
      <c r="BK56" s="765">
        <f>'9. Pre-Investment Baselines'!AV50-BJ56</f>
        <v>0</v>
      </c>
      <c r="BL56" s="858">
        <f t="shared" si="67"/>
        <v>0</v>
      </c>
      <c r="BM56" s="94" t="s">
        <v>387</v>
      </c>
      <c r="BN56" s="127">
        <f t="shared" si="29"/>
        <v>0</v>
      </c>
      <c r="BO56" s="511" t="s">
        <v>387</v>
      </c>
      <c r="BP56" s="514" t="s">
        <v>383</v>
      </c>
      <c r="BQ56" s="513">
        <f t="shared" si="38"/>
        <v>0</v>
      </c>
      <c r="BR56" s="767" t="s">
        <v>383</v>
      </c>
      <c r="BS56" s="768" t="s">
        <v>383</v>
      </c>
      <c r="BT56" s="488">
        <v>56.23</v>
      </c>
      <c r="BU56" s="489">
        <v>173.00670000000002</v>
      </c>
      <c r="BV56" s="490">
        <v>56.23</v>
      </c>
      <c r="BW56" s="491">
        <v>12.703330000000001</v>
      </c>
      <c r="BX56" s="488">
        <v>0.48399999999999999</v>
      </c>
      <c r="BY56" s="490">
        <v>1.7566666999999998</v>
      </c>
      <c r="BZ56" s="490">
        <v>0.48399999999999999</v>
      </c>
      <c r="CA56" s="491">
        <v>0.37733329999999998</v>
      </c>
      <c r="CB56" s="257" t="s">
        <v>383</v>
      </c>
      <c r="CC56" s="94" t="s">
        <v>383</v>
      </c>
      <c r="CD56" s="495" t="s">
        <v>383</v>
      </c>
      <c r="CE56" s="94" t="s">
        <v>383</v>
      </c>
      <c r="CF56" s="95" t="s">
        <v>383</v>
      </c>
      <c r="CG56" s="52"/>
    </row>
    <row r="57" spans="1:85" ht="30" customHeight="1" x14ac:dyDescent="0.3">
      <c r="A57" s="60" t="str">
        <f t="shared" si="0"/>
        <v>Unitil</v>
      </c>
      <c r="B57" s="66" t="s">
        <v>383</v>
      </c>
      <c r="C57" s="66" t="s">
        <v>383</v>
      </c>
      <c r="D57" s="58" t="s">
        <v>430</v>
      </c>
      <c r="E57" s="58" t="s">
        <v>395</v>
      </c>
      <c r="F57" s="58" t="s">
        <v>432</v>
      </c>
      <c r="G57" s="58" t="s">
        <v>433</v>
      </c>
      <c r="H57" s="10" t="s">
        <v>387</v>
      </c>
      <c r="I57" s="14" t="s">
        <v>453</v>
      </c>
      <c r="J57" s="128" t="s">
        <v>454</v>
      </c>
      <c r="K57" s="526">
        <v>7.6410876298579389</v>
      </c>
      <c r="L57" s="526">
        <v>61.854570848816266</v>
      </c>
      <c r="M57" s="58">
        <v>1336</v>
      </c>
      <c r="N57" s="582">
        <v>12183665.397319237</v>
      </c>
      <c r="O57" s="527" t="s">
        <v>455</v>
      </c>
      <c r="P57" s="524">
        <v>2.972</v>
      </c>
      <c r="Q57" s="608" t="s">
        <v>448</v>
      </c>
      <c r="R57" s="528" t="s">
        <v>449</v>
      </c>
      <c r="S57" s="18">
        <v>228</v>
      </c>
      <c r="T57" s="16">
        <f t="shared" si="5"/>
        <v>228</v>
      </c>
      <c r="U57" s="18">
        <v>1</v>
      </c>
      <c r="V57" s="16">
        <f t="shared" si="5"/>
        <v>1</v>
      </c>
      <c r="W57" s="18">
        <v>1</v>
      </c>
      <c r="X57" s="16">
        <f t="shared" si="88"/>
        <v>1</v>
      </c>
      <c r="Y57" s="18">
        <v>0</v>
      </c>
      <c r="Z57" s="10">
        <f t="shared" si="55"/>
        <v>0</v>
      </c>
      <c r="AA57" s="561">
        <v>10</v>
      </c>
      <c r="AB57" s="562">
        <f t="shared" si="89"/>
        <v>10</v>
      </c>
      <c r="AC57" s="563"/>
      <c r="AD57" s="562">
        <f t="shared" si="90"/>
        <v>0</v>
      </c>
      <c r="AE57" s="563"/>
      <c r="AF57" s="562">
        <f t="shared" si="91"/>
        <v>0</v>
      </c>
      <c r="AG57" s="563"/>
      <c r="AH57" s="562"/>
      <c r="AI57" s="564">
        <f t="shared" si="10"/>
        <v>3.3647375504710633E-3</v>
      </c>
      <c r="AJ57" s="565">
        <f t="shared" si="92"/>
        <v>16293.599999999999</v>
      </c>
      <c r="AK57" s="566">
        <f t="shared" si="92"/>
        <v>16293.599999999999</v>
      </c>
      <c r="AL57" s="565">
        <f t="shared" si="93"/>
        <v>0</v>
      </c>
      <c r="AM57" s="565">
        <f t="shared" si="93"/>
        <v>0</v>
      </c>
      <c r="AN57" s="565">
        <f t="shared" si="94"/>
        <v>0</v>
      </c>
      <c r="AO57" s="565">
        <f t="shared" si="94"/>
        <v>0</v>
      </c>
      <c r="AP57" s="565">
        <f t="shared" si="95"/>
        <v>0</v>
      </c>
      <c r="AQ57" s="565">
        <f t="shared" si="95"/>
        <v>0</v>
      </c>
      <c r="AR57" s="492">
        <v>0</v>
      </c>
      <c r="AS57" s="493">
        <v>0</v>
      </c>
      <c r="AT57" s="493">
        <v>0</v>
      </c>
      <c r="AU57" s="493">
        <v>0</v>
      </c>
      <c r="AV57" s="493">
        <v>0</v>
      </c>
      <c r="AW57" s="493">
        <v>0</v>
      </c>
      <c r="AX57" s="493">
        <v>0</v>
      </c>
      <c r="AY57" s="494">
        <v>0</v>
      </c>
      <c r="AZ57" s="637">
        <f t="shared" si="15"/>
        <v>12183665.397319237</v>
      </c>
      <c r="BA57" s="84" t="s">
        <v>383</v>
      </c>
      <c r="BB57" s="638">
        <f t="shared" si="16"/>
        <v>2.972</v>
      </c>
      <c r="BC57" s="22" t="s">
        <v>383</v>
      </c>
      <c r="BD57" s="639">
        <f t="shared" si="17"/>
        <v>302.27101725259644</v>
      </c>
      <c r="BE57" s="126" t="s">
        <v>383</v>
      </c>
      <c r="BF57" s="129">
        <v>42.95</v>
      </c>
      <c r="BG57" s="221" t="s">
        <v>383</v>
      </c>
      <c r="BH57" s="640">
        <f t="shared" si="18"/>
        <v>2277.1270627589656</v>
      </c>
      <c r="BI57" s="221" t="s">
        <v>383</v>
      </c>
      <c r="BJ57" s="126">
        <v>3</v>
      </c>
      <c r="BK57" s="765">
        <f>'9. Pre-Investment Baselines'!AV51-BJ57</f>
        <v>0</v>
      </c>
      <c r="BL57" s="858">
        <f t="shared" si="67"/>
        <v>3</v>
      </c>
      <c r="BM57" s="94" t="s">
        <v>387</v>
      </c>
      <c r="BN57" s="127">
        <f t="shared" si="29"/>
        <v>0</v>
      </c>
      <c r="BO57" s="511" t="s">
        <v>387</v>
      </c>
      <c r="BP57" s="514" t="s">
        <v>383</v>
      </c>
      <c r="BQ57" s="513">
        <f t="shared" si="38"/>
        <v>0</v>
      </c>
      <c r="BR57" s="767" t="s">
        <v>383</v>
      </c>
      <c r="BS57" s="768" t="s">
        <v>383</v>
      </c>
      <c r="BT57" s="488">
        <v>116.62</v>
      </c>
      <c r="BU57" s="489">
        <v>297.98669999999998</v>
      </c>
      <c r="BV57" s="490">
        <v>116.62</v>
      </c>
      <c r="BW57" s="491">
        <v>-17.25</v>
      </c>
      <c r="BX57" s="488">
        <v>1.427</v>
      </c>
      <c r="BY57" s="490">
        <v>1.4950000000000001</v>
      </c>
      <c r="BZ57" s="490">
        <v>1.427</v>
      </c>
      <c r="CA57" s="491">
        <v>-9.033329999999995E-2</v>
      </c>
      <c r="CB57" s="257" t="s">
        <v>383</v>
      </c>
      <c r="CC57" s="94" t="s">
        <v>383</v>
      </c>
      <c r="CD57" s="495" t="s">
        <v>383</v>
      </c>
      <c r="CE57" s="94" t="s">
        <v>383</v>
      </c>
      <c r="CF57" s="95" t="s">
        <v>383</v>
      </c>
      <c r="CG57" s="52"/>
    </row>
    <row r="58" spans="1:85" ht="30" customHeight="1" thickBot="1" x14ac:dyDescent="0.35">
      <c r="A58" s="60" t="str">
        <f t="shared" si="0"/>
        <v>Unitil</v>
      </c>
      <c r="B58" s="66" t="s">
        <v>383</v>
      </c>
      <c r="C58" s="66" t="s">
        <v>383</v>
      </c>
      <c r="D58" s="58" t="s">
        <v>430</v>
      </c>
      <c r="E58" s="58" t="s">
        <v>395</v>
      </c>
      <c r="F58" s="496"/>
      <c r="G58" s="496"/>
      <c r="H58" s="497"/>
      <c r="I58" s="529"/>
      <c r="J58" s="496"/>
      <c r="K58" s="496" t="s">
        <v>456</v>
      </c>
      <c r="L58" s="496" t="s">
        <v>456</v>
      </c>
      <c r="M58" s="496">
        <f>SUM(M56:M57)</f>
        <v>3310</v>
      </c>
      <c r="N58" s="583">
        <f>SUM(N56:N57)</f>
        <v>31369561.340731829</v>
      </c>
      <c r="O58" s="530"/>
      <c r="P58" s="496">
        <f>SUM(P56:P57)</f>
        <v>2.972</v>
      </c>
      <c r="Q58" s="609"/>
      <c r="R58" s="531"/>
      <c r="S58" s="569"/>
      <c r="T58" s="569"/>
      <c r="U58" s="569"/>
      <c r="V58" s="569"/>
      <c r="W58" s="569"/>
      <c r="X58" s="569"/>
      <c r="Y58" s="569"/>
      <c r="Z58" s="569"/>
      <c r="AA58" s="569"/>
      <c r="AB58" s="569"/>
      <c r="AC58" s="569"/>
      <c r="AD58" s="569"/>
      <c r="AE58" s="569"/>
      <c r="AF58" s="569"/>
      <c r="AG58" s="569"/>
      <c r="AH58" s="569"/>
      <c r="AI58" s="569"/>
      <c r="AJ58" s="569"/>
      <c r="AK58" s="497"/>
      <c r="AL58" s="569"/>
      <c r="AM58" s="497"/>
      <c r="AN58" s="569"/>
      <c r="AO58" s="497"/>
      <c r="AP58" s="569"/>
      <c r="AQ58" s="497"/>
      <c r="AR58" s="492">
        <v>0</v>
      </c>
      <c r="AS58" s="493">
        <v>0</v>
      </c>
      <c r="AT58" s="493">
        <v>0</v>
      </c>
      <c r="AU58" s="493">
        <v>0</v>
      </c>
      <c r="AV58" s="493">
        <v>0</v>
      </c>
      <c r="AW58" s="493">
        <v>0</v>
      </c>
      <c r="AX58" s="493">
        <v>0</v>
      </c>
      <c r="AY58" s="494">
        <v>0</v>
      </c>
      <c r="AZ58" s="637">
        <f t="shared" si="15"/>
        <v>31369561.340731829</v>
      </c>
      <c r="BA58" s="84" t="s">
        <v>383</v>
      </c>
      <c r="BB58" s="638">
        <f t="shared" si="16"/>
        <v>2.972</v>
      </c>
      <c r="BC58" s="22" t="s">
        <v>383</v>
      </c>
      <c r="BD58" s="639">
        <f t="shared" si="17"/>
        <v>302.27101725259644</v>
      </c>
      <c r="BE58" s="126" t="s">
        <v>383</v>
      </c>
      <c r="BF58" s="129">
        <v>43.95</v>
      </c>
      <c r="BG58" s="221" t="s">
        <v>383</v>
      </c>
      <c r="BH58" s="640">
        <f t="shared" si="18"/>
        <v>5862.9710145827794</v>
      </c>
      <c r="BI58" s="221" t="s">
        <v>383</v>
      </c>
      <c r="BJ58" s="126"/>
      <c r="BK58" s="765">
        <f>'9. Pre-Investment Baselines'!AV52-BJ58</f>
        <v>3.3333333333333335</v>
      </c>
      <c r="BL58" s="858">
        <f t="shared" si="67"/>
        <v>3.3333333333333335</v>
      </c>
      <c r="BM58" s="94" t="s">
        <v>387</v>
      </c>
      <c r="BN58" s="127">
        <f t="shared" si="29"/>
        <v>0</v>
      </c>
      <c r="BO58" s="515"/>
      <c r="BP58" s="516"/>
      <c r="BQ58" s="517"/>
      <c r="BR58" s="767" t="s">
        <v>383</v>
      </c>
      <c r="BS58" s="768" t="s">
        <v>383</v>
      </c>
      <c r="BT58" s="488"/>
      <c r="BU58" s="489"/>
      <c r="BV58" s="490"/>
      <c r="BW58" s="491"/>
      <c r="BX58" s="488"/>
      <c r="BY58" s="490"/>
      <c r="BZ58" s="490"/>
      <c r="CA58" s="491"/>
      <c r="CB58" s="257" t="s">
        <v>383</v>
      </c>
      <c r="CC58" s="94" t="s">
        <v>383</v>
      </c>
      <c r="CD58" s="495" t="s">
        <v>383</v>
      </c>
      <c r="CE58" s="94" t="s">
        <v>383</v>
      </c>
      <c r="CF58" s="95" t="s">
        <v>383</v>
      </c>
      <c r="CG58" s="52"/>
    </row>
    <row r="59" spans="1:85" ht="30" customHeight="1" thickBot="1" x14ac:dyDescent="0.35">
      <c r="A59" s="60" t="str">
        <f t="shared" si="0"/>
        <v>Unitil</v>
      </c>
      <c r="B59" s="66" t="s">
        <v>383</v>
      </c>
      <c r="C59" s="66" t="s">
        <v>383</v>
      </c>
      <c r="D59" s="58" t="s">
        <v>434</v>
      </c>
      <c r="E59" s="58" t="s">
        <v>385</v>
      </c>
      <c r="F59" s="58" t="s">
        <v>435</v>
      </c>
      <c r="G59" s="58" t="s">
        <v>385</v>
      </c>
      <c r="H59" s="10" t="s">
        <v>387</v>
      </c>
      <c r="I59" s="14" t="s">
        <v>453</v>
      </c>
      <c r="J59" s="128" t="s">
        <v>454</v>
      </c>
      <c r="K59" s="526">
        <v>9.1976054803845564</v>
      </c>
      <c r="L59" s="526">
        <v>0.60675217687310601</v>
      </c>
      <c r="M59" s="58">
        <v>67</v>
      </c>
      <c r="N59" s="582">
        <v>512415.49504741858</v>
      </c>
      <c r="O59" s="527" t="s">
        <v>455</v>
      </c>
      <c r="P59" s="524">
        <v>0.13</v>
      </c>
      <c r="Q59" s="821" t="s">
        <v>448</v>
      </c>
      <c r="R59" s="610" t="s">
        <v>450</v>
      </c>
      <c r="S59" s="18">
        <v>1</v>
      </c>
      <c r="T59" s="16">
        <f t="shared" si="5"/>
        <v>1</v>
      </c>
      <c r="U59" s="18">
        <v>1</v>
      </c>
      <c r="V59" s="16">
        <f t="shared" si="5"/>
        <v>1</v>
      </c>
      <c r="W59" s="18">
        <v>1</v>
      </c>
      <c r="X59" s="16">
        <f t="shared" ref="X59:X64" si="96">W59</f>
        <v>1</v>
      </c>
      <c r="Y59" s="18">
        <v>0</v>
      </c>
      <c r="Z59" s="10">
        <f t="shared" si="55"/>
        <v>0</v>
      </c>
      <c r="AA59" s="561">
        <v>6</v>
      </c>
      <c r="AB59" s="562">
        <f t="shared" ref="AB59:AB64" si="97">AA59</f>
        <v>6</v>
      </c>
      <c r="AC59" s="563"/>
      <c r="AD59" s="562">
        <f t="shared" ref="AD59:AD64" si="98">AC59</f>
        <v>0</v>
      </c>
      <c r="AE59" s="563"/>
      <c r="AF59" s="562">
        <f t="shared" ref="AF59:AF64" si="99">AE59</f>
        <v>0</v>
      </c>
      <c r="AG59" s="563"/>
      <c r="AH59" s="562"/>
      <c r="AI59" s="564">
        <f t="shared" si="10"/>
        <v>4.6153846153846156E-2</v>
      </c>
      <c r="AJ59" s="565">
        <f t="shared" ref="AJ59:AK64" si="100">AA59*0.186*8760</f>
        <v>9776.1600000000017</v>
      </c>
      <c r="AK59" s="566">
        <f t="shared" si="100"/>
        <v>9776.1600000000017</v>
      </c>
      <c r="AL59" s="565">
        <f t="shared" ref="AL59:AM64" si="101">AC59*8760</f>
        <v>0</v>
      </c>
      <c r="AM59" s="565">
        <f t="shared" si="101"/>
        <v>0</v>
      </c>
      <c r="AN59" s="565">
        <f t="shared" ref="AN59:AO64" si="102">AE59*0.186*8760</f>
        <v>0</v>
      </c>
      <c r="AO59" s="565">
        <f t="shared" si="102"/>
        <v>0</v>
      </c>
      <c r="AP59" s="565">
        <f t="shared" ref="AP59:AQ64" si="103">AG59*0.046*8760</f>
        <v>0</v>
      </c>
      <c r="AQ59" s="565">
        <f t="shared" si="103"/>
        <v>0</v>
      </c>
      <c r="AR59" s="492">
        <v>0</v>
      </c>
      <c r="AS59" s="493">
        <v>0</v>
      </c>
      <c r="AT59" s="493">
        <v>0</v>
      </c>
      <c r="AU59" s="493">
        <v>0</v>
      </c>
      <c r="AV59" s="493">
        <v>0</v>
      </c>
      <c r="AW59" s="493">
        <v>0</v>
      </c>
      <c r="AX59" s="493">
        <v>0</v>
      </c>
      <c r="AY59" s="494">
        <v>0</v>
      </c>
      <c r="AZ59" s="637">
        <f t="shared" si="15"/>
        <v>512415.49504741858</v>
      </c>
      <c r="BA59" s="84" t="s">
        <v>383</v>
      </c>
      <c r="BB59" s="638">
        <f t="shared" si="16"/>
        <v>0.13</v>
      </c>
      <c r="BC59" s="22" t="s">
        <v>383</v>
      </c>
      <c r="BD59" s="639">
        <f t="shared" si="17"/>
        <v>13.22181434819567</v>
      </c>
      <c r="BE59" s="126" t="s">
        <v>383</v>
      </c>
      <c r="BF59" s="129">
        <v>44.95</v>
      </c>
      <c r="BG59" s="221" t="s">
        <v>383</v>
      </c>
      <c r="BH59" s="640">
        <f t="shared" si="18"/>
        <v>95.770456024362545</v>
      </c>
      <c r="BI59" s="221" t="s">
        <v>383</v>
      </c>
      <c r="BJ59" s="126">
        <v>0</v>
      </c>
      <c r="BK59" s="765">
        <f>'9. Pre-Investment Baselines'!AV53-BJ59</f>
        <v>0</v>
      </c>
      <c r="BL59" s="858">
        <f t="shared" si="67"/>
        <v>0</v>
      </c>
      <c r="BM59" s="94" t="s">
        <v>387</v>
      </c>
      <c r="BN59" s="127">
        <f t="shared" si="29"/>
        <v>0</v>
      </c>
      <c r="BO59" s="511" t="s">
        <v>387</v>
      </c>
      <c r="BP59" s="514" t="s">
        <v>383</v>
      </c>
      <c r="BQ59" s="513">
        <f t="shared" si="38"/>
        <v>0</v>
      </c>
      <c r="BR59" s="767" t="s">
        <v>383</v>
      </c>
      <c r="BS59" s="768" t="s">
        <v>383</v>
      </c>
      <c r="BT59" s="488">
        <v>0</v>
      </c>
      <c r="BU59" s="489">
        <v>115.58329999999999</v>
      </c>
      <c r="BV59" s="490">
        <v>0</v>
      </c>
      <c r="BW59" s="491">
        <v>66.25</v>
      </c>
      <c r="BX59" s="488">
        <v>0</v>
      </c>
      <c r="BY59" s="490">
        <v>1.0833333000000001</v>
      </c>
      <c r="BZ59" s="490">
        <v>0</v>
      </c>
      <c r="CA59" s="491">
        <v>0.75</v>
      </c>
      <c r="CB59" s="257" t="s">
        <v>383</v>
      </c>
      <c r="CC59" s="94" t="s">
        <v>383</v>
      </c>
      <c r="CD59" s="495" t="s">
        <v>383</v>
      </c>
      <c r="CE59" s="94" t="s">
        <v>383</v>
      </c>
      <c r="CF59" s="95" t="s">
        <v>383</v>
      </c>
      <c r="CG59" s="52"/>
    </row>
    <row r="60" spans="1:85" ht="30" customHeight="1" thickBot="1" x14ac:dyDescent="0.35">
      <c r="A60" s="60" t="str">
        <f t="shared" si="0"/>
        <v>Unitil</v>
      </c>
      <c r="B60" s="66" t="s">
        <v>383</v>
      </c>
      <c r="C60" s="66" t="s">
        <v>383</v>
      </c>
      <c r="D60" s="58" t="s">
        <v>434</v>
      </c>
      <c r="E60" s="58" t="s">
        <v>385</v>
      </c>
      <c r="F60" s="58" t="s">
        <v>436</v>
      </c>
      <c r="G60" s="58" t="s">
        <v>385</v>
      </c>
      <c r="H60" s="10" t="s">
        <v>387</v>
      </c>
      <c r="I60" s="14" t="s">
        <v>453</v>
      </c>
      <c r="J60" s="128" t="s">
        <v>454</v>
      </c>
      <c r="K60" s="526">
        <v>9.1976054803845564</v>
      </c>
      <c r="L60" s="526">
        <v>8.0478286264507606</v>
      </c>
      <c r="M60" s="58">
        <v>369</v>
      </c>
      <c r="N60" s="582">
        <v>20189932.78952777</v>
      </c>
      <c r="O60" s="527" t="s">
        <v>455</v>
      </c>
      <c r="P60" s="524">
        <v>5.13</v>
      </c>
      <c r="Q60" s="821" t="s">
        <v>448</v>
      </c>
      <c r="R60" s="610" t="s">
        <v>450</v>
      </c>
      <c r="S60" s="18">
        <v>8</v>
      </c>
      <c r="T60" s="16">
        <f t="shared" si="5"/>
        <v>8</v>
      </c>
      <c r="U60" s="18">
        <v>0</v>
      </c>
      <c r="V60" s="16">
        <f t="shared" si="5"/>
        <v>0</v>
      </c>
      <c r="W60" s="18">
        <v>1</v>
      </c>
      <c r="X60" s="16">
        <f t="shared" si="96"/>
        <v>1</v>
      </c>
      <c r="Y60" s="18">
        <v>0</v>
      </c>
      <c r="Z60" s="10">
        <f t="shared" si="55"/>
        <v>0</v>
      </c>
      <c r="AA60" s="561">
        <v>1059</v>
      </c>
      <c r="AB60" s="562">
        <f t="shared" si="97"/>
        <v>1059</v>
      </c>
      <c r="AC60" s="563"/>
      <c r="AD60" s="562">
        <f t="shared" si="98"/>
        <v>0</v>
      </c>
      <c r="AE60" s="563"/>
      <c r="AF60" s="562">
        <f t="shared" si="99"/>
        <v>0</v>
      </c>
      <c r="AG60" s="563"/>
      <c r="AH60" s="562"/>
      <c r="AI60" s="564">
        <f t="shared" si="10"/>
        <v>0.20643274853801169</v>
      </c>
      <c r="AJ60" s="565">
        <f t="shared" si="100"/>
        <v>1725492.24</v>
      </c>
      <c r="AK60" s="566">
        <f t="shared" si="100"/>
        <v>1725492.24</v>
      </c>
      <c r="AL60" s="565">
        <f t="shared" si="101"/>
        <v>0</v>
      </c>
      <c r="AM60" s="565">
        <f t="shared" si="101"/>
        <v>0</v>
      </c>
      <c r="AN60" s="565">
        <f t="shared" si="102"/>
        <v>0</v>
      </c>
      <c r="AO60" s="565">
        <f t="shared" si="102"/>
        <v>0</v>
      </c>
      <c r="AP60" s="565">
        <f t="shared" si="103"/>
        <v>0</v>
      </c>
      <c r="AQ60" s="565">
        <f t="shared" si="103"/>
        <v>0</v>
      </c>
      <c r="AR60" s="492">
        <v>0</v>
      </c>
      <c r="AS60" s="493">
        <v>0</v>
      </c>
      <c r="AT60" s="493">
        <v>0</v>
      </c>
      <c r="AU60" s="493">
        <v>0</v>
      </c>
      <c r="AV60" s="493">
        <v>0</v>
      </c>
      <c r="AW60" s="493">
        <v>0</v>
      </c>
      <c r="AX60" s="493">
        <v>0</v>
      </c>
      <c r="AY60" s="494">
        <v>0</v>
      </c>
      <c r="AZ60" s="637">
        <f t="shared" si="15"/>
        <v>20189932.78952777</v>
      </c>
      <c r="BA60" s="84" t="s">
        <v>383</v>
      </c>
      <c r="BB60" s="638">
        <f t="shared" si="16"/>
        <v>5.13</v>
      </c>
      <c r="BC60" s="22" t="s">
        <v>383</v>
      </c>
      <c r="BD60" s="639">
        <f t="shared" si="17"/>
        <v>521.75313543264451</v>
      </c>
      <c r="BE60" s="126" t="s">
        <v>383</v>
      </c>
      <c r="BF60" s="129">
        <v>45.95</v>
      </c>
      <c r="BG60" s="221" t="s">
        <v>383</v>
      </c>
      <c r="BH60" s="640">
        <f t="shared" si="18"/>
        <v>3773.4984383627407</v>
      </c>
      <c r="BI60" s="221" t="s">
        <v>383</v>
      </c>
      <c r="BJ60" s="126">
        <v>0</v>
      </c>
      <c r="BK60" s="765">
        <f>'9. Pre-Investment Baselines'!AV54-BJ60</f>
        <v>0</v>
      </c>
      <c r="BL60" s="858">
        <f t="shared" si="67"/>
        <v>0</v>
      </c>
      <c r="BM60" s="94" t="s">
        <v>387</v>
      </c>
      <c r="BN60" s="127">
        <f t="shared" si="29"/>
        <v>0</v>
      </c>
      <c r="BO60" s="511" t="s">
        <v>387</v>
      </c>
      <c r="BP60" s="514" t="s">
        <v>383</v>
      </c>
      <c r="BQ60" s="513">
        <f t="shared" si="38"/>
        <v>0</v>
      </c>
      <c r="BR60" s="767" t="s">
        <v>383</v>
      </c>
      <c r="BS60" s="768" t="s">
        <v>383</v>
      </c>
      <c r="BT60" s="488">
        <v>34.659999999999997</v>
      </c>
      <c r="BU60" s="489">
        <v>115.08330000000001</v>
      </c>
      <c r="BV60" s="490">
        <v>22.13</v>
      </c>
      <c r="BW60" s="491">
        <v>77.043330000000012</v>
      </c>
      <c r="BX60" s="488">
        <v>0.51</v>
      </c>
      <c r="BY60" s="490">
        <v>1.3603333</v>
      </c>
      <c r="BZ60" s="490">
        <v>0.35299999999999998</v>
      </c>
      <c r="CA60" s="491">
        <v>1.18</v>
      </c>
      <c r="CB60" s="257" t="s">
        <v>383</v>
      </c>
      <c r="CC60" s="94" t="s">
        <v>383</v>
      </c>
      <c r="CD60" s="495" t="s">
        <v>383</v>
      </c>
      <c r="CE60" s="94" t="s">
        <v>383</v>
      </c>
      <c r="CF60" s="95" t="s">
        <v>383</v>
      </c>
      <c r="CG60" s="52"/>
    </row>
    <row r="61" spans="1:85" ht="30" customHeight="1" thickBot="1" x14ac:dyDescent="0.35">
      <c r="A61" s="60" t="str">
        <f t="shared" si="0"/>
        <v>Unitil</v>
      </c>
      <c r="B61" s="66" t="s">
        <v>383</v>
      </c>
      <c r="C61" s="66" t="s">
        <v>383</v>
      </c>
      <c r="D61" s="58" t="s">
        <v>434</v>
      </c>
      <c r="E61" s="58" t="s">
        <v>385</v>
      </c>
      <c r="F61" s="58" t="s">
        <v>437</v>
      </c>
      <c r="G61" s="58" t="s">
        <v>438</v>
      </c>
      <c r="H61" s="10" t="s">
        <v>387</v>
      </c>
      <c r="I61" s="14" t="s">
        <v>453</v>
      </c>
      <c r="J61" s="128" t="s">
        <v>454</v>
      </c>
      <c r="K61" s="526">
        <v>9.5609204577802025</v>
      </c>
      <c r="L61" s="526">
        <v>18.261853102982972</v>
      </c>
      <c r="M61" s="58">
        <v>1578</v>
      </c>
      <c r="N61" s="582">
        <v>24241601.454513833</v>
      </c>
      <c r="O61" s="527" t="s">
        <v>455</v>
      </c>
      <c r="P61" s="524">
        <v>7.5339999999999998</v>
      </c>
      <c r="Q61" s="821" t="s">
        <v>448</v>
      </c>
      <c r="R61" s="610" t="s">
        <v>450</v>
      </c>
      <c r="S61" s="18">
        <v>117</v>
      </c>
      <c r="T61" s="16">
        <f t="shared" si="5"/>
        <v>117</v>
      </c>
      <c r="U61" s="18">
        <v>0</v>
      </c>
      <c r="V61" s="16">
        <f t="shared" si="5"/>
        <v>0</v>
      </c>
      <c r="W61" s="18">
        <v>4</v>
      </c>
      <c r="X61" s="16">
        <f t="shared" si="96"/>
        <v>4</v>
      </c>
      <c r="Y61" s="18">
        <v>0</v>
      </c>
      <c r="Z61" s="10">
        <f t="shared" si="55"/>
        <v>0</v>
      </c>
      <c r="AA61" s="561">
        <v>1693</v>
      </c>
      <c r="AB61" s="562">
        <f t="shared" si="97"/>
        <v>1693</v>
      </c>
      <c r="AC61" s="563"/>
      <c r="AD61" s="562">
        <f t="shared" si="98"/>
        <v>0</v>
      </c>
      <c r="AE61" s="563">
        <v>22</v>
      </c>
      <c r="AF61" s="562">
        <f t="shared" si="99"/>
        <v>22</v>
      </c>
      <c r="AG61" s="563"/>
      <c r="AH61" s="562"/>
      <c r="AI61" s="564">
        <f t="shared" si="10"/>
        <v>0.22763472259092116</v>
      </c>
      <c r="AJ61" s="565">
        <f t="shared" si="100"/>
        <v>2758506.4800000004</v>
      </c>
      <c r="AK61" s="566">
        <f t="shared" si="100"/>
        <v>2758506.4800000004</v>
      </c>
      <c r="AL61" s="565">
        <f t="shared" si="101"/>
        <v>0</v>
      </c>
      <c r="AM61" s="565">
        <f t="shared" si="101"/>
        <v>0</v>
      </c>
      <c r="AN61" s="565">
        <f t="shared" si="102"/>
        <v>35845.919999999998</v>
      </c>
      <c r="AO61" s="565">
        <f t="shared" si="102"/>
        <v>35845.919999999998</v>
      </c>
      <c r="AP61" s="565">
        <f t="shared" si="103"/>
        <v>0</v>
      </c>
      <c r="AQ61" s="565">
        <f t="shared" si="103"/>
        <v>0</v>
      </c>
      <c r="AR61" s="492">
        <v>0</v>
      </c>
      <c r="AS61" s="493">
        <v>0</v>
      </c>
      <c r="AT61" s="493">
        <v>0</v>
      </c>
      <c r="AU61" s="493">
        <v>0</v>
      </c>
      <c r="AV61" s="493">
        <v>0</v>
      </c>
      <c r="AW61" s="493">
        <v>0</v>
      </c>
      <c r="AX61" s="493">
        <v>0</v>
      </c>
      <c r="AY61" s="494">
        <v>0</v>
      </c>
      <c r="AZ61" s="637">
        <f t="shared" si="15"/>
        <v>24241601.454513833</v>
      </c>
      <c r="BA61" s="84" t="s">
        <v>383</v>
      </c>
      <c r="BB61" s="638">
        <f t="shared" si="16"/>
        <v>7.5339999999999998</v>
      </c>
      <c r="BC61" s="22" t="s">
        <v>383</v>
      </c>
      <c r="BD61" s="639">
        <f t="shared" si="17"/>
        <v>766.25499461004756</v>
      </c>
      <c r="BE61" s="126" t="s">
        <v>383</v>
      </c>
      <c r="BF61" s="129">
        <v>46.95</v>
      </c>
      <c r="BG61" s="221" t="s">
        <v>383</v>
      </c>
      <c r="BH61" s="640">
        <f t="shared" si="18"/>
        <v>4530.7553118486358</v>
      </c>
      <c r="BI61" s="221" t="s">
        <v>383</v>
      </c>
      <c r="BJ61" s="126">
        <v>3</v>
      </c>
      <c r="BK61" s="765">
        <f>'9. Pre-Investment Baselines'!AV55-BJ61</f>
        <v>-2.3333333333333335</v>
      </c>
      <c r="BL61" s="858">
        <f t="shared" si="67"/>
        <v>0.66666666666666652</v>
      </c>
      <c r="BM61" s="94" t="s">
        <v>387</v>
      </c>
      <c r="BN61" s="127">
        <f t="shared" si="29"/>
        <v>0</v>
      </c>
      <c r="BO61" s="511" t="s">
        <v>387</v>
      </c>
      <c r="BP61" s="514" t="s">
        <v>383</v>
      </c>
      <c r="BQ61" s="513">
        <f t="shared" si="38"/>
        <v>0</v>
      </c>
      <c r="BR61" s="767" t="s">
        <v>383</v>
      </c>
      <c r="BS61" s="768" t="s">
        <v>383</v>
      </c>
      <c r="BT61" s="488">
        <v>15.45</v>
      </c>
      <c r="BU61" s="489">
        <v>95.706699999999998</v>
      </c>
      <c r="BV61" s="490">
        <v>15.4</v>
      </c>
      <c r="BW61" s="491">
        <v>44.370000000000005</v>
      </c>
      <c r="BX61" s="488">
        <v>0.379</v>
      </c>
      <c r="BY61" s="490">
        <v>0.88700000000000001</v>
      </c>
      <c r="BZ61" s="490">
        <v>0.378</v>
      </c>
      <c r="CA61" s="491">
        <v>0.52766670000000004</v>
      </c>
      <c r="CB61" s="257" t="s">
        <v>383</v>
      </c>
      <c r="CC61" s="94" t="s">
        <v>383</v>
      </c>
      <c r="CD61" s="495" t="s">
        <v>383</v>
      </c>
      <c r="CE61" s="94" t="s">
        <v>383</v>
      </c>
      <c r="CF61" s="95" t="s">
        <v>383</v>
      </c>
      <c r="CG61" s="52"/>
    </row>
    <row r="62" spans="1:85" ht="30" customHeight="1" thickBot="1" x14ac:dyDescent="0.35">
      <c r="A62" s="60" t="str">
        <f t="shared" si="0"/>
        <v>Unitil</v>
      </c>
      <c r="B62" s="66" t="s">
        <v>383</v>
      </c>
      <c r="C62" s="66" t="s">
        <v>383</v>
      </c>
      <c r="D62" s="58" t="s">
        <v>434</v>
      </c>
      <c r="E62" s="58" t="s">
        <v>385</v>
      </c>
      <c r="F62" s="58" t="s">
        <v>439</v>
      </c>
      <c r="G62" s="58" t="s">
        <v>385</v>
      </c>
      <c r="H62" s="10" t="s">
        <v>387</v>
      </c>
      <c r="I62" s="14" t="s">
        <v>453</v>
      </c>
      <c r="J62" s="128" t="s">
        <v>454</v>
      </c>
      <c r="K62" s="526">
        <v>9.5609204577802025</v>
      </c>
      <c r="L62" s="526">
        <v>12.559618568274621</v>
      </c>
      <c r="M62" s="58">
        <v>1920</v>
      </c>
      <c r="N62" s="582">
        <v>14202831.177492188</v>
      </c>
      <c r="O62" s="527" t="s">
        <v>455</v>
      </c>
      <c r="P62" s="524">
        <v>3.6160000000000001</v>
      </c>
      <c r="Q62" s="821" t="s">
        <v>448</v>
      </c>
      <c r="R62" s="610" t="s">
        <v>450</v>
      </c>
      <c r="S62" s="18">
        <v>93</v>
      </c>
      <c r="T62" s="16">
        <f t="shared" si="5"/>
        <v>93</v>
      </c>
      <c r="U62" s="18">
        <v>0</v>
      </c>
      <c r="V62" s="16">
        <f t="shared" si="5"/>
        <v>0</v>
      </c>
      <c r="W62" s="18">
        <v>0</v>
      </c>
      <c r="X62" s="16">
        <f t="shared" si="96"/>
        <v>0</v>
      </c>
      <c r="Y62" s="18">
        <v>1</v>
      </c>
      <c r="Z62" s="10">
        <f t="shared" si="55"/>
        <v>1</v>
      </c>
      <c r="AA62" s="561">
        <v>713</v>
      </c>
      <c r="AB62" s="562">
        <f t="shared" si="97"/>
        <v>713</v>
      </c>
      <c r="AC62" s="563"/>
      <c r="AD62" s="562">
        <f t="shared" si="98"/>
        <v>0</v>
      </c>
      <c r="AE62" s="563"/>
      <c r="AF62" s="562">
        <f t="shared" si="99"/>
        <v>0</v>
      </c>
      <c r="AG62" s="563"/>
      <c r="AH62" s="562"/>
      <c r="AI62" s="564">
        <f t="shared" si="10"/>
        <v>0.19717920353982302</v>
      </c>
      <c r="AJ62" s="565">
        <f t="shared" si="100"/>
        <v>1161733.68</v>
      </c>
      <c r="AK62" s="566">
        <f t="shared" si="100"/>
        <v>1161733.68</v>
      </c>
      <c r="AL62" s="565">
        <f t="shared" si="101"/>
        <v>0</v>
      </c>
      <c r="AM62" s="565">
        <f t="shared" si="101"/>
        <v>0</v>
      </c>
      <c r="AN62" s="565">
        <f t="shared" si="102"/>
        <v>0</v>
      </c>
      <c r="AO62" s="565">
        <f t="shared" si="102"/>
        <v>0</v>
      </c>
      <c r="AP62" s="565">
        <f t="shared" si="103"/>
        <v>0</v>
      </c>
      <c r="AQ62" s="565">
        <f t="shared" si="103"/>
        <v>0</v>
      </c>
      <c r="AR62" s="492">
        <v>0</v>
      </c>
      <c r="AS62" s="493">
        <v>0</v>
      </c>
      <c r="AT62" s="493">
        <v>0</v>
      </c>
      <c r="AU62" s="493">
        <v>0</v>
      </c>
      <c r="AV62" s="493">
        <v>0</v>
      </c>
      <c r="AW62" s="493">
        <v>0</v>
      </c>
      <c r="AX62" s="493">
        <v>0</v>
      </c>
      <c r="AY62" s="494">
        <v>0</v>
      </c>
      <c r="AZ62" s="637">
        <f t="shared" si="15"/>
        <v>14202831.177492188</v>
      </c>
      <c r="BA62" s="84" t="s">
        <v>383</v>
      </c>
      <c r="BB62" s="638">
        <f t="shared" si="16"/>
        <v>3.6160000000000001</v>
      </c>
      <c r="BC62" s="22" t="s">
        <v>383</v>
      </c>
      <c r="BD62" s="639">
        <f t="shared" si="17"/>
        <v>367.76985140827344</v>
      </c>
      <c r="BE62" s="126" t="s">
        <v>383</v>
      </c>
      <c r="BF62" s="129">
        <v>47.95</v>
      </c>
      <c r="BG62" s="221" t="s">
        <v>383</v>
      </c>
      <c r="BH62" s="640">
        <f t="shared" si="18"/>
        <v>2654.50914707329</v>
      </c>
      <c r="BI62" s="221" t="s">
        <v>383</v>
      </c>
      <c r="BJ62" s="126">
        <v>1</v>
      </c>
      <c r="BK62" s="765">
        <f>'9. Pre-Investment Baselines'!AV56-BJ62</f>
        <v>2</v>
      </c>
      <c r="BL62" s="858">
        <f t="shared" si="67"/>
        <v>3</v>
      </c>
      <c r="BM62" s="94" t="s">
        <v>387</v>
      </c>
      <c r="BN62" s="127">
        <f t="shared" si="29"/>
        <v>0</v>
      </c>
      <c r="BO62" s="511" t="s">
        <v>387</v>
      </c>
      <c r="BP62" s="514" t="s">
        <v>383</v>
      </c>
      <c r="BQ62" s="513">
        <f t="shared" si="38"/>
        <v>0</v>
      </c>
      <c r="BR62" s="767" t="s">
        <v>383</v>
      </c>
      <c r="BS62" s="768" t="s">
        <v>383</v>
      </c>
      <c r="BT62" s="488">
        <v>19.350000000000001</v>
      </c>
      <c r="BU62" s="489">
        <v>165.61670000000001</v>
      </c>
      <c r="BV62" s="490">
        <v>19.350000000000001</v>
      </c>
      <c r="BW62" s="491">
        <v>115.95000000000002</v>
      </c>
      <c r="BX62" s="488">
        <v>0.52</v>
      </c>
      <c r="BY62" s="490">
        <v>1.8889999999999998</v>
      </c>
      <c r="BZ62" s="490">
        <v>0.52</v>
      </c>
      <c r="CA62" s="491">
        <v>1.552</v>
      </c>
      <c r="CB62" s="257" t="s">
        <v>383</v>
      </c>
      <c r="CC62" s="94" t="s">
        <v>383</v>
      </c>
      <c r="CD62" s="495" t="s">
        <v>383</v>
      </c>
      <c r="CE62" s="94" t="s">
        <v>383</v>
      </c>
      <c r="CF62" s="95" t="s">
        <v>383</v>
      </c>
      <c r="CG62" s="52"/>
    </row>
    <row r="63" spans="1:85" ht="30" customHeight="1" thickBot="1" x14ac:dyDescent="0.35">
      <c r="A63" s="60" t="str">
        <f t="shared" si="0"/>
        <v>Unitil</v>
      </c>
      <c r="B63" s="66" t="s">
        <v>383</v>
      </c>
      <c r="C63" s="66" t="s">
        <v>383</v>
      </c>
      <c r="D63" s="58" t="s">
        <v>434</v>
      </c>
      <c r="E63" s="58" t="s">
        <v>385</v>
      </c>
      <c r="F63" s="58">
        <v>1303</v>
      </c>
      <c r="G63" s="58" t="s">
        <v>385</v>
      </c>
      <c r="H63" s="10" t="s">
        <v>387</v>
      </c>
      <c r="I63" s="14" t="s">
        <v>453</v>
      </c>
      <c r="J63" s="128" t="s">
        <v>454</v>
      </c>
      <c r="K63" s="526">
        <v>14.008660654739556</v>
      </c>
      <c r="L63" s="526">
        <v>0.6</v>
      </c>
      <c r="M63" s="58" t="s">
        <v>383</v>
      </c>
      <c r="N63" s="584" t="s">
        <v>383</v>
      </c>
      <c r="O63" s="527" t="s">
        <v>383</v>
      </c>
      <c r="P63" s="524" t="s">
        <v>383</v>
      </c>
      <c r="Q63" s="821" t="s">
        <v>448</v>
      </c>
      <c r="R63" s="528" t="s">
        <v>449</v>
      </c>
      <c r="S63" s="18">
        <v>0</v>
      </c>
      <c r="T63" s="16">
        <f t="shared" si="5"/>
        <v>0</v>
      </c>
      <c r="U63" s="18">
        <v>0</v>
      </c>
      <c r="V63" s="16">
        <f t="shared" si="5"/>
        <v>0</v>
      </c>
      <c r="W63" s="18">
        <v>0</v>
      </c>
      <c r="X63" s="16">
        <f t="shared" si="96"/>
        <v>0</v>
      </c>
      <c r="Y63" s="18">
        <v>0</v>
      </c>
      <c r="Z63" s="10">
        <f t="shared" si="55"/>
        <v>0</v>
      </c>
      <c r="AA63" s="561">
        <v>0</v>
      </c>
      <c r="AB63" s="562">
        <f t="shared" si="97"/>
        <v>0</v>
      </c>
      <c r="AC63" s="563"/>
      <c r="AD63" s="562">
        <f t="shared" si="98"/>
        <v>0</v>
      </c>
      <c r="AE63" s="563"/>
      <c r="AF63" s="562">
        <f t="shared" si="99"/>
        <v>0</v>
      </c>
      <c r="AG63" s="563"/>
      <c r="AH63" s="562"/>
      <c r="AI63" s="564">
        <f t="shared" si="10"/>
        <v>0</v>
      </c>
      <c r="AJ63" s="565">
        <f t="shared" si="100"/>
        <v>0</v>
      </c>
      <c r="AK63" s="566">
        <f t="shared" si="100"/>
        <v>0</v>
      </c>
      <c r="AL63" s="565">
        <f t="shared" si="101"/>
        <v>0</v>
      </c>
      <c r="AM63" s="565">
        <f t="shared" si="101"/>
        <v>0</v>
      </c>
      <c r="AN63" s="565">
        <f t="shared" si="102"/>
        <v>0</v>
      </c>
      <c r="AO63" s="565">
        <f t="shared" si="102"/>
        <v>0</v>
      </c>
      <c r="AP63" s="565">
        <f t="shared" si="103"/>
        <v>0</v>
      </c>
      <c r="AQ63" s="565">
        <f t="shared" si="103"/>
        <v>0</v>
      </c>
      <c r="AR63" s="492">
        <v>0</v>
      </c>
      <c r="AS63" s="493">
        <v>0</v>
      </c>
      <c r="AT63" s="493">
        <v>0</v>
      </c>
      <c r="AU63" s="493">
        <v>0</v>
      </c>
      <c r="AV63" s="493">
        <v>0</v>
      </c>
      <c r="AW63" s="493">
        <v>0</v>
      </c>
      <c r="AX63" s="493">
        <v>0</v>
      </c>
      <c r="AY63" s="494">
        <v>0</v>
      </c>
      <c r="AZ63" s="637" t="str">
        <f t="shared" si="15"/>
        <v>N/A</v>
      </c>
      <c r="BA63" s="84" t="s">
        <v>383</v>
      </c>
      <c r="BB63" s="638" t="str">
        <f t="shared" si="16"/>
        <v>N/A</v>
      </c>
      <c r="BC63" s="22" t="s">
        <v>383</v>
      </c>
      <c r="BD63" s="639" t="e">
        <f t="shared" si="17"/>
        <v>#VALUE!</v>
      </c>
      <c r="BE63" s="126" t="s">
        <v>383</v>
      </c>
      <c r="BF63" s="129">
        <v>48.95</v>
      </c>
      <c r="BG63" s="221" t="s">
        <v>383</v>
      </c>
      <c r="BH63" s="640" t="e">
        <f t="shared" si="18"/>
        <v>#VALUE!</v>
      </c>
      <c r="BI63" s="221" t="s">
        <v>383</v>
      </c>
      <c r="BJ63" s="126">
        <v>0</v>
      </c>
      <c r="BK63" s="765">
        <f>'9. Pre-Investment Baselines'!AV57-BJ63</f>
        <v>2.6666666666666665</v>
      </c>
      <c r="BL63" s="858">
        <f t="shared" si="67"/>
        <v>2.6666666666666665</v>
      </c>
      <c r="BM63" s="94" t="s">
        <v>387</v>
      </c>
      <c r="BN63" s="127">
        <f t="shared" si="29"/>
        <v>0</v>
      </c>
      <c r="BO63" s="511" t="s">
        <v>387</v>
      </c>
      <c r="BP63" s="514" t="s">
        <v>383</v>
      </c>
      <c r="BQ63" s="513">
        <f t="shared" si="38"/>
        <v>0</v>
      </c>
      <c r="BR63" s="767" t="s">
        <v>383</v>
      </c>
      <c r="BS63" s="768" t="s">
        <v>383</v>
      </c>
      <c r="BT63" s="488" t="s">
        <v>383</v>
      </c>
      <c r="BU63" s="489" t="s">
        <v>383</v>
      </c>
      <c r="BV63" s="490" t="s">
        <v>383</v>
      </c>
      <c r="BW63" s="491" t="s">
        <v>383</v>
      </c>
      <c r="BX63" s="488" t="s">
        <v>383</v>
      </c>
      <c r="BY63" s="490" t="s">
        <v>383</v>
      </c>
      <c r="BZ63" s="490" t="s">
        <v>383</v>
      </c>
      <c r="CA63" s="491" t="s">
        <v>383</v>
      </c>
      <c r="CB63" s="257" t="s">
        <v>383</v>
      </c>
      <c r="CC63" s="94" t="s">
        <v>383</v>
      </c>
      <c r="CD63" s="495" t="s">
        <v>383</v>
      </c>
      <c r="CE63" s="94" t="s">
        <v>383</v>
      </c>
      <c r="CF63" s="95" t="s">
        <v>383</v>
      </c>
      <c r="CG63" s="52"/>
    </row>
    <row r="64" spans="1:85" ht="30" customHeight="1" x14ac:dyDescent="0.3">
      <c r="A64" s="60" t="str">
        <f t="shared" si="0"/>
        <v>Unitil</v>
      </c>
      <c r="B64" s="66" t="s">
        <v>383</v>
      </c>
      <c r="C64" s="66" t="s">
        <v>383</v>
      </c>
      <c r="D64" s="58" t="s">
        <v>434</v>
      </c>
      <c r="E64" s="58" t="s">
        <v>385</v>
      </c>
      <c r="F64" s="58">
        <v>1309</v>
      </c>
      <c r="G64" s="58" t="s">
        <v>385</v>
      </c>
      <c r="H64" s="10" t="s">
        <v>387</v>
      </c>
      <c r="I64" s="14" t="s">
        <v>453</v>
      </c>
      <c r="J64" s="128" t="s">
        <v>454</v>
      </c>
      <c r="K64" s="526">
        <v>14.008660654739556</v>
      </c>
      <c r="L64" s="526">
        <v>0.6</v>
      </c>
      <c r="M64" s="58" t="s">
        <v>383</v>
      </c>
      <c r="N64" s="584" t="s">
        <v>383</v>
      </c>
      <c r="O64" s="527" t="s">
        <v>383</v>
      </c>
      <c r="P64" s="572" t="s">
        <v>383</v>
      </c>
      <c r="Q64" s="821" t="s">
        <v>448</v>
      </c>
      <c r="R64" s="528" t="s">
        <v>449</v>
      </c>
      <c r="S64" s="18">
        <v>0</v>
      </c>
      <c r="T64" s="16">
        <f t="shared" si="5"/>
        <v>0</v>
      </c>
      <c r="U64" s="18">
        <v>0</v>
      </c>
      <c r="V64" s="16">
        <f t="shared" si="5"/>
        <v>0</v>
      </c>
      <c r="W64" s="18">
        <v>0</v>
      </c>
      <c r="X64" s="16">
        <f t="shared" si="96"/>
        <v>0</v>
      </c>
      <c r="Y64" s="18">
        <v>0</v>
      </c>
      <c r="Z64" s="10">
        <f t="shared" si="55"/>
        <v>0</v>
      </c>
      <c r="AA64" s="561">
        <v>0</v>
      </c>
      <c r="AB64" s="562">
        <f t="shared" si="97"/>
        <v>0</v>
      </c>
      <c r="AC64" s="563"/>
      <c r="AD64" s="562">
        <f t="shared" si="98"/>
        <v>0</v>
      </c>
      <c r="AE64" s="563"/>
      <c r="AF64" s="562">
        <f t="shared" si="99"/>
        <v>0</v>
      </c>
      <c r="AG64" s="563"/>
      <c r="AH64" s="562"/>
      <c r="AI64" s="564">
        <f t="shared" si="10"/>
        <v>0</v>
      </c>
      <c r="AJ64" s="565">
        <f t="shared" si="100"/>
        <v>0</v>
      </c>
      <c r="AK64" s="566">
        <f t="shared" si="100"/>
        <v>0</v>
      </c>
      <c r="AL64" s="565">
        <f t="shared" si="101"/>
        <v>0</v>
      </c>
      <c r="AM64" s="565">
        <f t="shared" si="101"/>
        <v>0</v>
      </c>
      <c r="AN64" s="565">
        <f t="shared" si="102"/>
        <v>0</v>
      </c>
      <c r="AO64" s="565">
        <f t="shared" si="102"/>
        <v>0</v>
      </c>
      <c r="AP64" s="565">
        <f t="shared" si="103"/>
        <v>0</v>
      </c>
      <c r="AQ64" s="565">
        <f t="shared" si="103"/>
        <v>0</v>
      </c>
      <c r="AR64" s="492">
        <v>0</v>
      </c>
      <c r="AS64" s="493">
        <v>0</v>
      </c>
      <c r="AT64" s="493">
        <v>0</v>
      </c>
      <c r="AU64" s="493">
        <v>0</v>
      </c>
      <c r="AV64" s="493">
        <v>0</v>
      </c>
      <c r="AW64" s="493">
        <v>0</v>
      </c>
      <c r="AX64" s="493">
        <v>0</v>
      </c>
      <c r="AY64" s="494">
        <v>0</v>
      </c>
      <c r="AZ64" s="637" t="str">
        <f t="shared" si="15"/>
        <v>N/A</v>
      </c>
      <c r="BA64" s="84" t="s">
        <v>383</v>
      </c>
      <c r="BB64" s="638" t="str">
        <f t="shared" si="16"/>
        <v>N/A</v>
      </c>
      <c r="BC64" s="22" t="s">
        <v>383</v>
      </c>
      <c r="BD64" s="639" t="e">
        <f t="shared" si="17"/>
        <v>#VALUE!</v>
      </c>
      <c r="BE64" s="126" t="s">
        <v>383</v>
      </c>
      <c r="BF64" s="129">
        <v>49.95</v>
      </c>
      <c r="BG64" s="221" t="s">
        <v>383</v>
      </c>
      <c r="BH64" s="640" t="e">
        <f t="shared" si="18"/>
        <v>#VALUE!</v>
      </c>
      <c r="BI64" s="221" t="s">
        <v>383</v>
      </c>
      <c r="BJ64" s="126">
        <v>0</v>
      </c>
      <c r="BK64" s="765">
        <f>'9. Pre-Investment Baselines'!AV58-BJ64</f>
        <v>0</v>
      </c>
      <c r="BL64" s="858">
        <f t="shared" si="67"/>
        <v>0</v>
      </c>
      <c r="BM64" s="94" t="s">
        <v>387</v>
      </c>
      <c r="BN64" s="127">
        <f t="shared" si="29"/>
        <v>0</v>
      </c>
      <c r="BO64" s="511" t="s">
        <v>387</v>
      </c>
      <c r="BP64" s="514" t="s">
        <v>383</v>
      </c>
      <c r="BQ64" s="513">
        <f t="shared" si="38"/>
        <v>0</v>
      </c>
      <c r="BR64" s="767" t="s">
        <v>383</v>
      </c>
      <c r="BS64" s="768" t="s">
        <v>383</v>
      </c>
      <c r="BT64" s="488" t="s">
        <v>383</v>
      </c>
      <c r="BU64" s="489" t="s">
        <v>383</v>
      </c>
      <c r="BV64" s="490" t="s">
        <v>383</v>
      </c>
      <c r="BW64" s="491" t="s">
        <v>383</v>
      </c>
      <c r="BX64" s="488" t="s">
        <v>383</v>
      </c>
      <c r="BY64" s="490" t="s">
        <v>383</v>
      </c>
      <c r="BZ64" s="490" t="s">
        <v>383</v>
      </c>
      <c r="CA64" s="491" t="s">
        <v>383</v>
      </c>
      <c r="CB64" s="257" t="s">
        <v>383</v>
      </c>
      <c r="CC64" s="94" t="s">
        <v>383</v>
      </c>
      <c r="CD64" s="495" t="s">
        <v>383</v>
      </c>
      <c r="CE64" s="94" t="s">
        <v>383</v>
      </c>
      <c r="CF64" s="95" t="s">
        <v>383</v>
      </c>
      <c r="CG64" s="52"/>
    </row>
    <row r="65" spans="1:100" ht="30" customHeight="1" thickBot="1" x14ac:dyDescent="0.35">
      <c r="A65" s="60" t="str">
        <f t="shared" si="0"/>
        <v>Unitil</v>
      </c>
      <c r="B65" s="66" t="s">
        <v>383</v>
      </c>
      <c r="C65" s="66" t="s">
        <v>383</v>
      </c>
      <c r="D65" s="58" t="s">
        <v>434</v>
      </c>
      <c r="E65" s="58" t="s">
        <v>385</v>
      </c>
      <c r="F65" s="496"/>
      <c r="G65" s="496"/>
      <c r="H65" s="497"/>
      <c r="I65" s="529"/>
      <c r="J65" s="496"/>
      <c r="K65" s="496" t="s">
        <v>456</v>
      </c>
      <c r="L65" s="496"/>
      <c r="M65" s="496">
        <f>SUM(M59:M64)</f>
        <v>3934</v>
      </c>
      <c r="N65" s="583">
        <f>SUM(N59:N64)</f>
        <v>59146780.916581213</v>
      </c>
      <c r="O65" s="530"/>
      <c r="P65" s="496">
        <f>SUM(P59:P64)</f>
        <v>16.41</v>
      </c>
      <c r="Q65" s="609"/>
      <c r="R65" s="531"/>
      <c r="S65" s="569"/>
      <c r="T65" s="569"/>
      <c r="U65" s="569"/>
      <c r="V65" s="569"/>
      <c r="W65" s="569"/>
      <c r="X65" s="569"/>
      <c r="Y65" s="569"/>
      <c r="Z65" s="569"/>
      <c r="AA65" s="569"/>
      <c r="AB65" s="569"/>
      <c r="AC65" s="569"/>
      <c r="AD65" s="569"/>
      <c r="AE65" s="569"/>
      <c r="AF65" s="569"/>
      <c r="AG65" s="569"/>
      <c r="AH65" s="569"/>
      <c r="AI65" s="569"/>
      <c r="AJ65" s="569"/>
      <c r="AK65" s="497"/>
      <c r="AL65" s="569"/>
      <c r="AM65" s="497"/>
      <c r="AN65" s="569"/>
      <c r="AO65" s="497"/>
      <c r="AP65" s="569"/>
      <c r="AQ65" s="497"/>
      <c r="AR65" s="492">
        <v>0</v>
      </c>
      <c r="AS65" s="493">
        <v>0</v>
      </c>
      <c r="AT65" s="493">
        <v>0</v>
      </c>
      <c r="AU65" s="493">
        <v>0</v>
      </c>
      <c r="AV65" s="493">
        <v>0</v>
      </c>
      <c r="AW65" s="493">
        <v>0</v>
      </c>
      <c r="AX65" s="493">
        <v>0</v>
      </c>
      <c r="AY65" s="494">
        <v>0</v>
      </c>
      <c r="AZ65" s="637">
        <f t="shared" si="15"/>
        <v>59146780.916581213</v>
      </c>
      <c r="BA65" s="84" t="s">
        <v>383</v>
      </c>
      <c r="BB65" s="638">
        <f t="shared" si="16"/>
        <v>16.41</v>
      </c>
      <c r="BC65" s="22" t="s">
        <v>383</v>
      </c>
      <c r="BD65" s="639">
        <f t="shared" si="17"/>
        <v>1668.9997957991611</v>
      </c>
      <c r="BE65" s="126" t="s">
        <v>383</v>
      </c>
      <c r="BF65" s="129">
        <v>50.95</v>
      </c>
      <c r="BG65" s="221" t="s">
        <v>383</v>
      </c>
      <c r="BH65" s="640">
        <f t="shared" si="18"/>
        <v>11054.533353309029</v>
      </c>
      <c r="BI65" s="221" t="s">
        <v>383</v>
      </c>
      <c r="BJ65" s="126"/>
      <c r="BK65" s="765">
        <f>'9. Pre-Investment Baselines'!AV59-BJ65</f>
        <v>0</v>
      </c>
      <c r="BL65" s="858">
        <f t="shared" si="67"/>
        <v>0</v>
      </c>
      <c r="BM65" s="94" t="s">
        <v>387</v>
      </c>
      <c r="BN65" s="127">
        <f t="shared" si="29"/>
        <v>0</v>
      </c>
      <c r="BO65" s="515"/>
      <c r="BP65" s="516"/>
      <c r="BQ65" s="517"/>
      <c r="BR65" s="767" t="s">
        <v>383</v>
      </c>
      <c r="BS65" s="768" t="s">
        <v>383</v>
      </c>
      <c r="BT65" s="498"/>
      <c r="BU65" s="106"/>
      <c r="BV65" s="105"/>
      <c r="BW65" s="499"/>
      <c r="BX65" s="498"/>
      <c r="BY65" s="105"/>
      <c r="BZ65" s="105"/>
      <c r="CA65" s="499"/>
      <c r="CB65" s="257" t="s">
        <v>383</v>
      </c>
      <c r="CC65" s="94" t="s">
        <v>383</v>
      </c>
      <c r="CD65" s="495" t="s">
        <v>383</v>
      </c>
      <c r="CE65" s="94" t="s">
        <v>383</v>
      </c>
      <c r="CF65" s="95" t="s">
        <v>383</v>
      </c>
      <c r="CG65" s="52"/>
    </row>
    <row r="66" spans="1:100" ht="30" customHeight="1" thickBot="1" x14ac:dyDescent="0.35">
      <c r="A66" s="60" t="str">
        <f t="shared" si="0"/>
        <v>Unitil</v>
      </c>
      <c r="B66" s="66" t="s">
        <v>383</v>
      </c>
      <c r="C66" s="66" t="s">
        <v>383</v>
      </c>
      <c r="D66" s="58" t="s">
        <v>440</v>
      </c>
      <c r="E66" s="58" t="s">
        <v>385</v>
      </c>
      <c r="F66" s="58" t="s">
        <v>441</v>
      </c>
      <c r="G66" s="58" t="s">
        <v>385</v>
      </c>
      <c r="H66" s="10" t="s">
        <v>387</v>
      </c>
      <c r="I66" s="14" t="s">
        <v>453</v>
      </c>
      <c r="J66" s="128" t="s">
        <v>454</v>
      </c>
      <c r="K66" s="526">
        <v>11.886136313112347</v>
      </c>
      <c r="L66" s="526">
        <v>7.8408432448636383</v>
      </c>
      <c r="M66" s="58">
        <v>659</v>
      </c>
      <c r="N66" s="582">
        <v>6074776.1939367792</v>
      </c>
      <c r="O66" s="527" t="s">
        <v>455</v>
      </c>
      <c r="P66" s="524">
        <v>1.3620000000000001</v>
      </c>
      <c r="Q66" s="608" t="s">
        <v>450</v>
      </c>
      <c r="R66" s="528" t="s">
        <v>449</v>
      </c>
      <c r="S66" s="18">
        <v>109</v>
      </c>
      <c r="T66" s="16">
        <f t="shared" si="5"/>
        <v>109</v>
      </c>
      <c r="U66" s="18">
        <v>0</v>
      </c>
      <c r="V66" s="16">
        <f t="shared" si="5"/>
        <v>0</v>
      </c>
      <c r="W66" s="18">
        <v>1</v>
      </c>
      <c r="X66" s="16">
        <f t="shared" ref="X66:X70" si="104">W66</f>
        <v>1</v>
      </c>
      <c r="Y66" s="18">
        <v>0</v>
      </c>
      <c r="Z66" s="10">
        <f t="shared" si="55"/>
        <v>0</v>
      </c>
      <c r="AA66" s="561">
        <v>683</v>
      </c>
      <c r="AB66" s="562">
        <f t="shared" ref="AB66:AB67" si="105">AA66</f>
        <v>683</v>
      </c>
      <c r="AC66" s="563"/>
      <c r="AD66" s="562">
        <f t="shared" ref="AD66:AD67" si="106">AC66</f>
        <v>0</v>
      </c>
      <c r="AE66" s="563"/>
      <c r="AF66" s="562">
        <f t="shared" ref="AF66:AF67" si="107">AE66</f>
        <v>0</v>
      </c>
      <c r="AG66" s="563"/>
      <c r="AH66" s="562"/>
      <c r="AI66" s="564">
        <f t="shared" si="10"/>
        <v>0.50146842878120412</v>
      </c>
      <c r="AJ66" s="565">
        <f t="shared" ref="AJ66:AK67" si="108">AA66*0.186*8760</f>
        <v>1112852.8799999999</v>
      </c>
      <c r="AK66" s="566">
        <f t="shared" si="108"/>
        <v>1112852.8799999999</v>
      </c>
      <c r="AL66" s="565">
        <f t="shared" ref="AL66:AM67" si="109">AC66*8760</f>
        <v>0</v>
      </c>
      <c r="AM66" s="565">
        <f t="shared" si="109"/>
        <v>0</v>
      </c>
      <c r="AN66" s="565">
        <f t="shared" ref="AN66:AO67" si="110">AE66*0.186*8760</f>
        <v>0</v>
      </c>
      <c r="AO66" s="565">
        <f t="shared" si="110"/>
        <v>0</v>
      </c>
      <c r="AP66" s="565">
        <f t="shared" ref="AP66:AQ67" si="111">AG66*0.046*8760</f>
        <v>0</v>
      </c>
      <c r="AQ66" s="565">
        <f t="shared" si="111"/>
        <v>0</v>
      </c>
      <c r="AR66" s="492">
        <v>0</v>
      </c>
      <c r="AS66" s="493">
        <v>0</v>
      </c>
      <c r="AT66" s="493">
        <v>0</v>
      </c>
      <c r="AU66" s="493">
        <v>0</v>
      </c>
      <c r="AV66" s="493">
        <v>0</v>
      </c>
      <c r="AW66" s="493">
        <v>0</v>
      </c>
      <c r="AX66" s="493">
        <v>0</v>
      </c>
      <c r="AY66" s="494">
        <v>0</v>
      </c>
      <c r="AZ66" s="637">
        <f t="shared" si="15"/>
        <v>6074776.1939367792</v>
      </c>
      <c r="BA66" s="84" t="s">
        <v>383</v>
      </c>
      <c r="BB66" s="638">
        <f t="shared" si="16"/>
        <v>1.3620000000000001</v>
      </c>
      <c r="BC66" s="22" t="s">
        <v>383</v>
      </c>
      <c r="BD66" s="639">
        <f t="shared" si="17"/>
        <v>138.52393186340387</v>
      </c>
      <c r="BE66" s="126" t="s">
        <v>383</v>
      </c>
      <c r="BF66" s="129">
        <v>51.95</v>
      </c>
      <c r="BG66" s="221" t="s">
        <v>383</v>
      </c>
      <c r="BH66" s="640">
        <f t="shared" si="18"/>
        <v>1135.3756706467841</v>
      </c>
      <c r="BI66" s="221" t="s">
        <v>383</v>
      </c>
      <c r="BJ66" s="126">
        <v>1</v>
      </c>
      <c r="BK66" s="765">
        <f>'9. Pre-Investment Baselines'!AV60-BJ66</f>
        <v>-1</v>
      </c>
      <c r="BL66" s="858">
        <f t="shared" si="67"/>
        <v>0</v>
      </c>
      <c r="BM66" s="94" t="s">
        <v>387</v>
      </c>
      <c r="BN66" s="127">
        <f t="shared" si="29"/>
        <v>0</v>
      </c>
      <c r="BO66" s="511" t="s">
        <v>387</v>
      </c>
      <c r="BP66" s="514" t="s">
        <v>383</v>
      </c>
      <c r="BQ66" s="513">
        <f t="shared" si="38"/>
        <v>0</v>
      </c>
      <c r="BR66" s="767" t="s">
        <v>383</v>
      </c>
      <c r="BS66" s="768" t="s">
        <v>383</v>
      </c>
      <c r="BT66" s="498">
        <v>25.96</v>
      </c>
      <c r="BU66" s="106">
        <v>40.686669999999999</v>
      </c>
      <c r="BV66" s="105">
        <v>25.96</v>
      </c>
      <c r="BW66" s="499">
        <v>40.686669999999999</v>
      </c>
      <c r="BX66" s="498">
        <v>0.34200000000000003</v>
      </c>
      <c r="BY66" s="105">
        <v>0.70699999999999985</v>
      </c>
      <c r="BZ66" s="105">
        <v>0.34200000000000003</v>
      </c>
      <c r="CA66" s="499">
        <v>0.70699999999999985</v>
      </c>
      <c r="CB66" s="257" t="s">
        <v>383</v>
      </c>
      <c r="CC66" s="94" t="s">
        <v>383</v>
      </c>
      <c r="CD66" s="495" t="s">
        <v>383</v>
      </c>
      <c r="CE66" s="94" t="s">
        <v>383</v>
      </c>
      <c r="CF66" s="95" t="s">
        <v>383</v>
      </c>
      <c r="CG66" s="52"/>
    </row>
    <row r="67" spans="1:100" ht="30" customHeight="1" x14ac:dyDescent="0.3">
      <c r="A67" s="60" t="str">
        <f t="shared" si="0"/>
        <v>Unitil</v>
      </c>
      <c r="B67" s="66" t="s">
        <v>383</v>
      </c>
      <c r="C67" s="66" t="s">
        <v>383</v>
      </c>
      <c r="D67" s="58" t="s">
        <v>440</v>
      </c>
      <c r="E67" s="58" t="s">
        <v>385</v>
      </c>
      <c r="F67" s="58" t="s">
        <v>442</v>
      </c>
      <c r="G67" s="58" t="s">
        <v>385</v>
      </c>
      <c r="H67" s="10" t="s">
        <v>387</v>
      </c>
      <c r="I67" s="14" t="s">
        <v>453</v>
      </c>
      <c r="J67" s="128" t="s">
        <v>454</v>
      </c>
      <c r="K67" s="526">
        <v>13.58415578641411</v>
      </c>
      <c r="L67" s="526">
        <v>8.0643156223484849E-2</v>
      </c>
      <c r="M67" s="58">
        <v>2</v>
      </c>
      <c r="N67" s="582">
        <v>39527938.19916638</v>
      </c>
      <c r="O67" s="527" t="s">
        <v>455</v>
      </c>
      <c r="P67" s="524">
        <v>7.7119999999999997</v>
      </c>
      <c r="Q67" s="608" t="s">
        <v>450</v>
      </c>
      <c r="R67" s="528" t="s">
        <v>449</v>
      </c>
      <c r="S67" s="18"/>
      <c r="T67" s="16">
        <f t="shared" si="5"/>
        <v>0</v>
      </c>
      <c r="U67" s="18">
        <v>1</v>
      </c>
      <c r="V67" s="16">
        <f t="shared" si="5"/>
        <v>1</v>
      </c>
      <c r="W67" s="18">
        <v>0</v>
      </c>
      <c r="X67" s="16">
        <f t="shared" si="104"/>
        <v>0</v>
      </c>
      <c r="Y67" s="18">
        <v>0</v>
      </c>
      <c r="Z67" s="10">
        <f t="shared" si="55"/>
        <v>0</v>
      </c>
      <c r="AA67" s="561">
        <v>0</v>
      </c>
      <c r="AB67" s="562">
        <f t="shared" si="105"/>
        <v>0</v>
      </c>
      <c r="AC67" s="563"/>
      <c r="AD67" s="562">
        <f t="shared" si="106"/>
        <v>0</v>
      </c>
      <c r="AE67" s="563"/>
      <c r="AF67" s="562">
        <f t="shared" si="107"/>
        <v>0</v>
      </c>
      <c r="AG67" s="563"/>
      <c r="AH67" s="562"/>
      <c r="AI67" s="564">
        <f t="shared" si="10"/>
        <v>0</v>
      </c>
      <c r="AJ67" s="565">
        <f t="shared" si="108"/>
        <v>0</v>
      </c>
      <c r="AK67" s="566">
        <f t="shared" si="108"/>
        <v>0</v>
      </c>
      <c r="AL67" s="565">
        <f t="shared" si="109"/>
        <v>0</v>
      </c>
      <c r="AM67" s="565">
        <f t="shared" si="109"/>
        <v>0</v>
      </c>
      <c r="AN67" s="565">
        <f t="shared" si="110"/>
        <v>0</v>
      </c>
      <c r="AO67" s="565">
        <f t="shared" si="110"/>
        <v>0</v>
      </c>
      <c r="AP67" s="565">
        <f t="shared" si="111"/>
        <v>0</v>
      </c>
      <c r="AQ67" s="565">
        <f t="shared" si="111"/>
        <v>0</v>
      </c>
      <c r="AR67" s="492">
        <v>0</v>
      </c>
      <c r="AS67" s="493">
        <v>0</v>
      </c>
      <c r="AT67" s="493">
        <v>0</v>
      </c>
      <c r="AU67" s="493">
        <v>0</v>
      </c>
      <c r="AV67" s="493">
        <v>0</v>
      </c>
      <c r="AW67" s="493">
        <v>0</v>
      </c>
      <c r="AX67" s="493">
        <v>0</v>
      </c>
      <c r="AY67" s="494">
        <v>0</v>
      </c>
      <c r="AZ67" s="637">
        <f t="shared" si="15"/>
        <v>39527938.19916638</v>
      </c>
      <c r="BA67" s="84" t="s">
        <v>383</v>
      </c>
      <c r="BB67" s="638">
        <f t="shared" si="16"/>
        <v>7.7119999999999997</v>
      </c>
      <c r="BC67" s="22" t="s">
        <v>383</v>
      </c>
      <c r="BD67" s="639">
        <f t="shared" si="17"/>
        <v>784.35870964065384</v>
      </c>
      <c r="BE67" s="126" t="s">
        <v>383</v>
      </c>
      <c r="BF67" s="129">
        <v>52.95</v>
      </c>
      <c r="BG67" s="221" t="s">
        <v>383</v>
      </c>
      <c r="BH67" s="640">
        <f t="shared" si="18"/>
        <v>7387.7716494241977</v>
      </c>
      <c r="BI67" s="221" t="s">
        <v>383</v>
      </c>
      <c r="BJ67" s="126">
        <v>0</v>
      </c>
      <c r="BK67" s="765">
        <f>'9. Pre-Investment Baselines'!AV61-BJ67</f>
        <v>1.3333333333333333</v>
      </c>
      <c r="BL67" s="858">
        <f t="shared" si="67"/>
        <v>1.3333333333333333</v>
      </c>
      <c r="BM67" s="94" t="s">
        <v>387</v>
      </c>
      <c r="BN67" s="127">
        <f t="shared" si="29"/>
        <v>0</v>
      </c>
      <c r="BO67" s="511" t="s">
        <v>387</v>
      </c>
      <c r="BP67" s="514" t="s">
        <v>383</v>
      </c>
      <c r="BQ67" s="513">
        <f t="shared" si="38"/>
        <v>0</v>
      </c>
      <c r="BR67" s="767" t="s">
        <v>383</v>
      </c>
      <c r="BS67" s="768" t="s">
        <v>383</v>
      </c>
      <c r="BT67" s="498">
        <v>0</v>
      </c>
      <c r="BU67" s="106">
        <v>18.95</v>
      </c>
      <c r="BV67" s="105">
        <v>0</v>
      </c>
      <c r="BW67" s="499">
        <v>18.95</v>
      </c>
      <c r="BX67" s="498">
        <v>0</v>
      </c>
      <c r="BY67" s="105">
        <v>0.3333333</v>
      </c>
      <c r="BZ67" s="105">
        <v>0</v>
      </c>
      <c r="CA67" s="499">
        <v>0.3333333</v>
      </c>
      <c r="CB67" s="257" t="s">
        <v>383</v>
      </c>
      <c r="CC67" s="94" t="s">
        <v>383</v>
      </c>
      <c r="CD67" s="495" t="s">
        <v>383</v>
      </c>
      <c r="CE67" s="94" t="s">
        <v>383</v>
      </c>
      <c r="CF67" s="95" t="s">
        <v>383</v>
      </c>
      <c r="CG67" s="52"/>
    </row>
    <row r="68" spans="1:100" ht="30" customHeight="1" thickBot="1" x14ac:dyDescent="0.35">
      <c r="A68" s="60" t="str">
        <f t="shared" si="0"/>
        <v>Unitil</v>
      </c>
      <c r="B68" s="66" t="s">
        <v>383</v>
      </c>
      <c r="C68" s="66" t="s">
        <v>383</v>
      </c>
      <c r="D68" s="58" t="s">
        <v>440</v>
      </c>
      <c r="E68" s="58" t="s">
        <v>385</v>
      </c>
      <c r="F68" s="58" t="s">
        <v>443</v>
      </c>
      <c r="G68" s="58" t="s">
        <v>385</v>
      </c>
      <c r="H68" s="10" t="s">
        <v>387</v>
      </c>
      <c r="I68" s="14" t="s">
        <v>453</v>
      </c>
      <c r="J68" s="128" t="s">
        <v>454</v>
      </c>
      <c r="K68" s="526">
        <v>18.35696727893799</v>
      </c>
      <c r="L68" s="526">
        <v>0</v>
      </c>
      <c r="M68" s="58" t="s">
        <v>383</v>
      </c>
      <c r="N68" s="584" t="s">
        <v>383</v>
      </c>
      <c r="O68" s="527" t="s">
        <v>383</v>
      </c>
      <c r="P68" s="572" t="s">
        <v>383</v>
      </c>
      <c r="Q68" s="608" t="s">
        <v>450</v>
      </c>
      <c r="R68" s="528" t="s">
        <v>449</v>
      </c>
      <c r="S68" s="18" t="s">
        <v>383</v>
      </c>
      <c r="T68" s="16" t="str">
        <f t="shared" si="5"/>
        <v>N/A</v>
      </c>
      <c r="U68" s="18" t="s">
        <v>383</v>
      </c>
      <c r="V68" s="16" t="str">
        <f t="shared" si="5"/>
        <v>N/A</v>
      </c>
      <c r="W68" s="18" t="s">
        <v>383</v>
      </c>
      <c r="X68" s="16" t="str">
        <f t="shared" si="104"/>
        <v>N/A</v>
      </c>
      <c r="Y68" s="18" t="s">
        <v>383</v>
      </c>
      <c r="Z68" s="10" t="str">
        <f t="shared" si="55"/>
        <v>N/A</v>
      </c>
      <c r="AA68" s="65" t="s">
        <v>383</v>
      </c>
      <c r="AB68" s="65" t="s">
        <v>383</v>
      </c>
      <c r="AC68" s="65" t="s">
        <v>383</v>
      </c>
      <c r="AD68" s="65" t="s">
        <v>383</v>
      </c>
      <c r="AE68" s="65" t="s">
        <v>383</v>
      </c>
      <c r="AF68" s="65" t="s">
        <v>383</v>
      </c>
      <c r="AG68" s="65" t="s">
        <v>383</v>
      </c>
      <c r="AH68" s="65" t="s">
        <v>383</v>
      </c>
      <c r="AI68" s="65" t="s">
        <v>383</v>
      </c>
      <c r="AJ68" s="65" t="s">
        <v>383</v>
      </c>
      <c r="AK68" s="204" t="s">
        <v>383</v>
      </c>
      <c r="AL68" s="65" t="s">
        <v>383</v>
      </c>
      <c r="AM68" s="204" t="s">
        <v>383</v>
      </c>
      <c r="AN68" s="65" t="s">
        <v>383</v>
      </c>
      <c r="AO68" s="204" t="s">
        <v>383</v>
      </c>
      <c r="AP68" s="65" t="s">
        <v>383</v>
      </c>
      <c r="AQ68" s="204" t="s">
        <v>383</v>
      </c>
      <c r="AR68" s="492">
        <v>0</v>
      </c>
      <c r="AS68" s="493">
        <v>0</v>
      </c>
      <c r="AT68" s="493">
        <v>0</v>
      </c>
      <c r="AU68" s="493">
        <v>0</v>
      </c>
      <c r="AV68" s="493">
        <v>0</v>
      </c>
      <c r="AW68" s="493">
        <v>0</v>
      </c>
      <c r="AX68" s="493">
        <v>0</v>
      </c>
      <c r="AY68" s="494">
        <v>0</v>
      </c>
      <c r="AZ68" s="637" t="str">
        <f t="shared" si="15"/>
        <v>N/A</v>
      </c>
      <c r="BA68" s="84" t="s">
        <v>383</v>
      </c>
      <c r="BB68" s="638" t="str">
        <f t="shared" si="16"/>
        <v>N/A</v>
      </c>
      <c r="BC68" s="22" t="s">
        <v>383</v>
      </c>
      <c r="BD68" s="639" t="e">
        <f t="shared" si="17"/>
        <v>#VALUE!</v>
      </c>
      <c r="BE68" s="126" t="s">
        <v>383</v>
      </c>
      <c r="BF68" s="129">
        <v>53.95</v>
      </c>
      <c r="BG68" s="221" t="s">
        <v>383</v>
      </c>
      <c r="BH68" s="640" t="e">
        <f t="shared" si="18"/>
        <v>#VALUE!</v>
      </c>
      <c r="BI68" s="221" t="s">
        <v>383</v>
      </c>
      <c r="BJ68" s="126">
        <v>0</v>
      </c>
      <c r="BK68" s="765">
        <f>'9. Pre-Investment Baselines'!AV62-BJ68</f>
        <v>0</v>
      </c>
      <c r="BL68" s="858">
        <f t="shared" si="67"/>
        <v>0</v>
      </c>
      <c r="BM68" s="94" t="s">
        <v>387</v>
      </c>
      <c r="BN68" s="127">
        <f t="shared" si="29"/>
        <v>0</v>
      </c>
      <c r="BO68" s="511" t="s">
        <v>387</v>
      </c>
      <c r="BP68" s="514" t="s">
        <v>383</v>
      </c>
      <c r="BQ68" s="513">
        <f t="shared" si="38"/>
        <v>0</v>
      </c>
      <c r="BR68" s="767" t="s">
        <v>383</v>
      </c>
      <c r="BS68" s="768" t="s">
        <v>383</v>
      </c>
      <c r="BT68" s="498" t="s">
        <v>383</v>
      </c>
      <c r="BU68" s="106" t="s">
        <v>383</v>
      </c>
      <c r="BV68" s="105" t="s">
        <v>383</v>
      </c>
      <c r="BW68" s="499" t="s">
        <v>383</v>
      </c>
      <c r="BX68" s="498" t="s">
        <v>383</v>
      </c>
      <c r="BY68" s="105" t="s">
        <v>383</v>
      </c>
      <c r="BZ68" s="105" t="s">
        <v>383</v>
      </c>
      <c r="CA68" s="499" t="s">
        <v>383</v>
      </c>
      <c r="CB68" s="257" t="s">
        <v>383</v>
      </c>
      <c r="CC68" s="94" t="s">
        <v>383</v>
      </c>
      <c r="CD68" s="495" t="s">
        <v>383</v>
      </c>
      <c r="CE68" s="94" t="s">
        <v>383</v>
      </c>
      <c r="CF68" s="95" t="s">
        <v>383</v>
      </c>
      <c r="CG68" s="52"/>
    </row>
    <row r="69" spans="1:100" ht="30" customHeight="1" thickBot="1" x14ac:dyDescent="0.35">
      <c r="A69" s="60" t="str">
        <f t="shared" si="0"/>
        <v>Unitil</v>
      </c>
      <c r="B69" s="66" t="s">
        <v>383</v>
      </c>
      <c r="C69" s="66" t="s">
        <v>383</v>
      </c>
      <c r="D69" s="58" t="s">
        <v>440</v>
      </c>
      <c r="E69" s="58" t="s">
        <v>385</v>
      </c>
      <c r="F69" s="58" t="s">
        <v>444</v>
      </c>
      <c r="G69" s="58" t="s">
        <v>385</v>
      </c>
      <c r="H69" s="10" t="s">
        <v>387</v>
      </c>
      <c r="I69" s="14" t="s">
        <v>453</v>
      </c>
      <c r="J69" s="128" t="s">
        <v>454</v>
      </c>
      <c r="K69" s="526">
        <v>8.0655924981833795</v>
      </c>
      <c r="L69" s="526">
        <v>7.1147583333295463</v>
      </c>
      <c r="M69" s="58">
        <v>196</v>
      </c>
      <c r="N69" s="582">
        <v>21165437.249386344</v>
      </c>
      <c r="O69" s="527" t="s">
        <v>455</v>
      </c>
      <c r="P69" s="524">
        <v>5.306</v>
      </c>
      <c r="Q69" s="608" t="s">
        <v>450</v>
      </c>
      <c r="R69" s="528" t="s">
        <v>449</v>
      </c>
      <c r="S69" s="18">
        <v>12</v>
      </c>
      <c r="T69" s="16">
        <f t="shared" si="5"/>
        <v>12</v>
      </c>
      <c r="U69" s="18">
        <v>1</v>
      </c>
      <c r="V69" s="16">
        <f t="shared" si="5"/>
        <v>1</v>
      </c>
      <c r="W69" s="18">
        <v>1</v>
      </c>
      <c r="X69" s="16">
        <f t="shared" si="104"/>
        <v>1</v>
      </c>
      <c r="Y69" s="18">
        <v>0</v>
      </c>
      <c r="Z69" s="10">
        <f t="shared" si="55"/>
        <v>0</v>
      </c>
      <c r="AA69" s="561">
        <v>96</v>
      </c>
      <c r="AB69" s="562">
        <f t="shared" ref="AB69:AB70" si="112">AA69</f>
        <v>96</v>
      </c>
      <c r="AC69" s="563">
        <v>300</v>
      </c>
      <c r="AD69" s="562">
        <f t="shared" ref="AD69:AD70" si="113">AC69</f>
        <v>300</v>
      </c>
      <c r="AE69" s="563"/>
      <c r="AF69" s="562">
        <f t="shared" ref="AF69:AF70" si="114">AE69</f>
        <v>0</v>
      </c>
      <c r="AG69" s="563"/>
      <c r="AH69" s="562"/>
      <c r="AI69" s="564">
        <f t="shared" si="10"/>
        <v>7.463249151903506E-2</v>
      </c>
      <c r="AJ69" s="565">
        <f t="shared" ref="AJ69:AK70" si="115">AA69*0.186*8760</f>
        <v>156418.56000000003</v>
      </c>
      <c r="AK69" s="566">
        <f t="shared" si="115"/>
        <v>156418.56000000003</v>
      </c>
      <c r="AL69" s="565">
        <f t="shared" ref="AL69:AM70" si="116">AC69*8760</f>
        <v>2628000</v>
      </c>
      <c r="AM69" s="565">
        <f t="shared" si="116"/>
        <v>2628000</v>
      </c>
      <c r="AN69" s="565">
        <f t="shared" ref="AN69:AO70" si="117">AE69*0.186*8760</f>
        <v>0</v>
      </c>
      <c r="AO69" s="565">
        <f t="shared" si="117"/>
        <v>0</v>
      </c>
      <c r="AP69" s="565">
        <f t="shared" ref="AP69:AQ70" si="118">AG69*0.046*8760</f>
        <v>0</v>
      </c>
      <c r="AQ69" s="565">
        <f t="shared" si="118"/>
        <v>0</v>
      </c>
      <c r="AR69" s="492">
        <v>0</v>
      </c>
      <c r="AS69" s="493">
        <v>0</v>
      </c>
      <c r="AT69" s="493">
        <v>0</v>
      </c>
      <c r="AU69" s="493">
        <v>0</v>
      </c>
      <c r="AV69" s="493">
        <v>0</v>
      </c>
      <c r="AW69" s="493">
        <v>0</v>
      </c>
      <c r="AX69" s="493">
        <v>0</v>
      </c>
      <c r="AY69" s="494">
        <v>0</v>
      </c>
      <c r="AZ69" s="637">
        <f t="shared" si="15"/>
        <v>21165437.249386344</v>
      </c>
      <c r="BA69" s="84" t="s">
        <v>383</v>
      </c>
      <c r="BB69" s="638">
        <f t="shared" si="16"/>
        <v>5.306</v>
      </c>
      <c r="BC69" s="22" t="s">
        <v>383</v>
      </c>
      <c r="BD69" s="639">
        <f t="shared" si="17"/>
        <v>539.65343793481713</v>
      </c>
      <c r="BE69" s="126" t="s">
        <v>383</v>
      </c>
      <c r="BF69" s="129">
        <v>54.95</v>
      </c>
      <c r="BG69" s="221" t="s">
        <v>383</v>
      </c>
      <c r="BH69" s="640">
        <f t="shared" si="18"/>
        <v>3955.8202219103082</v>
      </c>
      <c r="BI69" s="221" t="s">
        <v>383</v>
      </c>
      <c r="BJ69" s="126">
        <v>0</v>
      </c>
      <c r="BK69" s="765">
        <f>'9. Pre-Investment Baselines'!AV63-BJ69</f>
        <v>0</v>
      </c>
      <c r="BL69" s="858">
        <f t="shared" si="67"/>
        <v>0</v>
      </c>
      <c r="BM69" s="94" t="s">
        <v>387</v>
      </c>
      <c r="BN69" s="127">
        <f t="shared" si="29"/>
        <v>0</v>
      </c>
      <c r="BO69" s="511" t="s">
        <v>387</v>
      </c>
      <c r="BP69" s="514" t="s">
        <v>383</v>
      </c>
      <c r="BQ69" s="513">
        <f t="shared" si="38"/>
        <v>0</v>
      </c>
      <c r="BR69" s="767" t="s">
        <v>383</v>
      </c>
      <c r="BS69" s="768" t="s">
        <v>383</v>
      </c>
      <c r="BT69" s="498">
        <v>0.32</v>
      </c>
      <c r="BU69" s="106">
        <v>22.156669999999998</v>
      </c>
      <c r="BV69" s="105">
        <v>0.32</v>
      </c>
      <c r="BW69" s="499">
        <v>19.626670000000001</v>
      </c>
      <c r="BX69" s="498">
        <v>0.01</v>
      </c>
      <c r="BY69" s="105">
        <v>0.23699999999999999</v>
      </c>
      <c r="BZ69" s="105">
        <v>0.01</v>
      </c>
      <c r="CA69" s="499">
        <v>0.22133329999999998</v>
      </c>
      <c r="CB69" s="257" t="s">
        <v>383</v>
      </c>
      <c r="CC69" s="94" t="s">
        <v>383</v>
      </c>
      <c r="CD69" s="495" t="s">
        <v>383</v>
      </c>
      <c r="CE69" s="94" t="s">
        <v>383</v>
      </c>
      <c r="CF69" s="95" t="s">
        <v>383</v>
      </c>
      <c r="CG69" s="52"/>
    </row>
    <row r="70" spans="1:100" ht="30" customHeight="1" x14ac:dyDescent="0.3">
      <c r="A70" s="500" t="str">
        <f t="shared" si="0"/>
        <v>Unitil</v>
      </c>
      <c r="B70" s="501" t="s">
        <v>383</v>
      </c>
      <c r="C70" s="501" t="s">
        <v>383</v>
      </c>
      <c r="D70" s="212" t="s">
        <v>440</v>
      </c>
      <c r="E70" s="212" t="s">
        <v>385</v>
      </c>
      <c r="F70" s="212" t="s">
        <v>445</v>
      </c>
      <c r="G70" s="212" t="s">
        <v>385</v>
      </c>
      <c r="H70" s="196" t="s">
        <v>387</v>
      </c>
      <c r="I70" s="534" t="s">
        <v>453</v>
      </c>
      <c r="J70" s="195" t="s">
        <v>454</v>
      </c>
      <c r="K70" s="535">
        <v>8.4900973665088202</v>
      </c>
      <c r="L70" s="535">
        <v>4.1895801912310606</v>
      </c>
      <c r="M70" s="212">
        <v>149</v>
      </c>
      <c r="N70" s="582">
        <v>15014166.617215212</v>
      </c>
      <c r="O70" s="536" t="s">
        <v>455</v>
      </c>
      <c r="P70" s="573">
        <v>4.5650000000000004</v>
      </c>
      <c r="Q70" s="608" t="s">
        <v>450</v>
      </c>
      <c r="R70" s="537" t="s">
        <v>449</v>
      </c>
      <c r="S70" s="18">
        <v>21</v>
      </c>
      <c r="T70" s="16">
        <f t="shared" si="5"/>
        <v>21</v>
      </c>
      <c r="U70" s="18">
        <v>0</v>
      </c>
      <c r="V70" s="16">
        <f t="shared" si="5"/>
        <v>0</v>
      </c>
      <c r="W70" s="18">
        <v>0</v>
      </c>
      <c r="X70" s="16">
        <f t="shared" si="104"/>
        <v>0</v>
      </c>
      <c r="Y70" s="18">
        <v>0</v>
      </c>
      <c r="Z70" s="10">
        <f t="shared" si="55"/>
        <v>0</v>
      </c>
      <c r="AA70" s="561">
        <v>898</v>
      </c>
      <c r="AB70" s="562">
        <f t="shared" si="112"/>
        <v>898</v>
      </c>
      <c r="AC70" s="563"/>
      <c r="AD70" s="562">
        <f t="shared" si="113"/>
        <v>0</v>
      </c>
      <c r="AE70" s="563"/>
      <c r="AF70" s="562">
        <f t="shared" si="114"/>
        <v>0</v>
      </c>
      <c r="AG70" s="563"/>
      <c r="AH70" s="562"/>
      <c r="AI70" s="564">
        <f t="shared" si="10"/>
        <v>0.19671412924424972</v>
      </c>
      <c r="AJ70" s="565">
        <f t="shared" si="115"/>
        <v>1463165.28</v>
      </c>
      <c r="AK70" s="566">
        <f t="shared" si="115"/>
        <v>1463165.28</v>
      </c>
      <c r="AL70" s="565">
        <f t="shared" si="116"/>
        <v>0</v>
      </c>
      <c r="AM70" s="565">
        <f t="shared" si="116"/>
        <v>0</v>
      </c>
      <c r="AN70" s="565">
        <f t="shared" si="117"/>
        <v>0</v>
      </c>
      <c r="AO70" s="565">
        <f t="shared" si="117"/>
        <v>0</v>
      </c>
      <c r="AP70" s="565">
        <f t="shared" si="118"/>
        <v>0</v>
      </c>
      <c r="AQ70" s="565">
        <f t="shared" si="118"/>
        <v>0</v>
      </c>
      <c r="AR70" s="492">
        <v>0</v>
      </c>
      <c r="AS70" s="493">
        <v>0</v>
      </c>
      <c r="AT70" s="493">
        <v>0</v>
      </c>
      <c r="AU70" s="493">
        <v>0</v>
      </c>
      <c r="AV70" s="493">
        <v>0</v>
      </c>
      <c r="AW70" s="493">
        <v>0</v>
      </c>
      <c r="AX70" s="493">
        <v>0</v>
      </c>
      <c r="AY70" s="494">
        <v>0</v>
      </c>
      <c r="AZ70" s="637">
        <f t="shared" si="15"/>
        <v>15014166.617215212</v>
      </c>
      <c r="BA70" s="84" t="s">
        <v>383</v>
      </c>
      <c r="BB70" s="638">
        <f t="shared" si="16"/>
        <v>4.5650000000000004</v>
      </c>
      <c r="BC70" s="22" t="s">
        <v>383</v>
      </c>
      <c r="BD70" s="639">
        <f t="shared" si="17"/>
        <v>464.28909615010184</v>
      </c>
      <c r="BE70" s="126" t="s">
        <v>383</v>
      </c>
      <c r="BF70" s="129">
        <v>55.95</v>
      </c>
      <c r="BG70" s="221" t="s">
        <v>383</v>
      </c>
      <c r="BH70" s="640">
        <f t="shared" si="18"/>
        <v>2806.1477407575235</v>
      </c>
      <c r="BI70" s="221" t="s">
        <v>383</v>
      </c>
      <c r="BJ70" s="126">
        <v>1</v>
      </c>
      <c r="BK70" s="765">
        <f>'9. Pre-Investment Baselines'!AV64-BJ70</f>
        <v>-1</v>
      </c>
      <c r="BL70" s="858">
        <f t="shared" si="67"/>
        <v>0</v>
      </c>
      <c r="BM70" s="94" t="s">
        <v>387</v>
      </c>
      <c r="BN70" s="127">
        <f t="shared" si="29"/>
        <v>0</v>
      </c>
      <c r="BO70" s="511" t="s">
        <v>387</v>
      </c>
      <c r="BP70" s="514" t="s">
        <v>383</v>
      </c>
      <c r="BQ70" s="513">
        <f t="shared" si="38"/>
        <v>0</v>
      </c>
      <c r="BR70" s="767" t="s">
        <v>383</v>
      </c>
      <c r="BS70" s="768" t="s">
        <v>383</v>
      </c>
      <c r="BT70" s="498">
        <v>10.14</v>
      </c>
      <c r="BU70" s="106">
        <v>26.096669999999996</v>
      </c>
      <c r="BV70" s="105">
        <v>10.14</v>
      </c>
      <c r="BW70" s="499">
        <v>25.473329999999997</v>
      </c>
      <c r="BX70" s="498">
        <v>0.153</v>
      </c>
      <c r="BY70" s="105">
        <v>0.60199999999999998</v>
      </c>
      <c r="BZ70" s="105">
        <v>0.153</v>
      </c>
      <c r="CA70" s="499">
        <v>0.5976667</v>
      </c>
      <c r="CB70" s="257" t="s">
        <v>383</v>
      </c>
      <c r="CC70" s="94" t="s">
        <v>383</v>
      </c>
      <c r="CD70" s="495" t="s">
        <v>383</v>
      </c>
      <c r="CE70" s="94" t="s">
        <v>383</v>
      </c>
      <c r="CF70" s="95" t="s">
        <v>383</v>
      </c>
      <c r="CG70" s="52"/>
    </row>
    <row r="71" spans="1:100" ht="30" customHeight="1" thickBot="1" x14ac:dyDescent="0.35">
      <c r="A71" s="61" t="s">
        <v>446</v>
      </c>
      <c r="B71" s="502" t="s">
        <v>383</v>
      </c>
      <c r="C71" s="502" t="s">
        <v>383</v>
      </c>
      <c r="D71" s="209" t="s">
        <v>440</v>
      </c>
      <c r="E71" s="209" t="s">
        <v>385</v>
      </c>
      <c r="F71" s="503"/>
      <c r="G71" s="503"/>
      <c r="H71" s="504"/>
      <c r="I71" s="503"/>
      <c r="J71" s="503"/>
      <c r="K71" s="503"/>
      <c r="L71" s="503"/>
      <c r="M71" s="503">
        <f>SUM(M66:M70)</f>
        <v>1006</v>
      </c>
      <c r="N71" s="586">
        <f>SUM(N69:N70)</f>
        <v>36179603.866601557</v>
      </c>
      <c r="O71" s="503"/>
      <c r="P71" s="503">
        <f>SUM(P69:P70)</f>
        <v>9.8710000000000004</v>
      </c>
      <c r="Q71" s="606"/>
      <c r="R71" s="538"/>
      <c r="S71" s="569"/>
      <c r="T71" s="569"/>
      <c r="U71" s="569"/>
      <c r="V71" s="569"/>
      <c r="W71" s="569"/>
      <c r="X71" s="569"/>
      <c r="Y71" s="569"/>
      <c r="Z71" s="569"/>
      <c r="AA71" s="569"/>
      <c r="AB71" s="569"/>
      <c r="AC71" s="569"/>
      <c r="AD71" s="569"/>
      <c r="AE71" s="569"/>
      <c r="AF71" s="569"/>
      <c r="AG71" s="569"/>
      <c r="AH71" s="569"/>
      <c r="AI71" s="569"/>
      <c r="AJ71" s="575"/>
      <c r="AK71" s="504"/>
      <c r="AL71" s="575"/>
      <c r="AM71" s="504"/>
      <c r="AN71" s="575"/>
      <c r="AO71" s="504"/>
      <c r="AP71" s="575"/>
      <c r="AQ71" s="504"/>
      <c r="AR71" s="492">
        <v>0</v>
      </c>
      <c r="AS71" s="493">
        <v>0</v>
      </c>
      <c r="AT71" s="493">
        <v>0</v>
      </c>
      <c r="AU71" s="493">
        <v>0</v>
      </c>
      <c r="AV71" s="493">
        <v>0</v>
      </c>
      <c r="AW71" s="493">
        <v>0</v>
      </c>
      <c r="AX71" s="493">
        <v>0</v>
      </c>
      <c r="AY71" s="494">
        <v>0</v>
      </c>
      <c r="AZ71" s="637">
        <f t="shared" si="15"/>
        <v>36179603.866601557</v>
      </c>
      <c r="BA71" s="84" t="s">
        <v>383</v>
      </c>
      <c r="BB71" s="638">
        <f t="shared" si="16"/>
        <v>9.8710000000000004</v>
      </c>
      <c r="BC71" s="22" t="s">
        <v>383</v>
      </c>
      <c r="BD71" s="639">
        <f t="shared" si="17"/>
        <v>1003.942534084919</v>
      </c>
      <c r="BE71" s="126" t="s">
        <v>383</v>
      </c>
      <c r="BF71" s="129">
        <v>56.95</v>
      </c>
      <c r="BG71" s="221" t="s">
        <v>383</v>
      </c>
      <c r="BH71" s="640">
        <f t="shared" si="18"/>
        <v>6761.9679626678317</v>
      </c>
      <c r="BI71" s="221" t="s">
        <v>383</v>
      </c>
      <c r="BJ71" s="126"/>
      <c r="BK71" s="765">
        <f>'9. Pre-Investment Baselines'!AV65-BJ71</f>
        <v>0.66666666666666663</v>
      </c>
      <c r="BL71" s="858">
        <f t="shared" si="67"/>
        <v>0.66666666666666663</v>
      </c>
      <c r="BM71" s="94" t="s">
        <v>387</v>
      </c>
      <c r="BN71" s="127">
        <f t="shared" si="29"/>
        <v>0</v>
      </c>
      <c r="BO71" s="515"/>
      <c r="BP71" s="516"/>
      <c r="BQ71" s="517"/>
      <c r="BR71" s="767" t="s">
        <v>383</v>
      </c>
      <c r="BS71" s="768" t="s">
        <v>383</v>
      </c>
      <c r="BT71" s="114"/>
      <c r="BU71" s="37"/>
      <c r="BV71" s="115"/>
      <c r="BW71" s="239"/>
      <c r="BX71" s="505"/>
      <c r="BY71" s="506"/>
      <c r="BZ71" s="506"/>
      <c r="CA71" s="507"/>
      <c r="CB71" s="257" t="s">
        <v>383</v>
      </c>
      <c r="CC71" s="94" t="s">
        <v>383</v>
      </c>
      <c r="CD71" s="495" t="s">
        <v>383</v>
      </c>
      <c r="CE71" s="94" t="s">
        <v>383</v>
      </c>
      <c r="CF71" s="95" t="s">
        <v>383</v>
      </c>
      <c r="CG71" s="52"/>
    </row>
    <row r="72" spans="1:100" ht="15" thickBot="1" x14ac:dyDescent="0.35">
      <c r="A72" s="372" t="s">
        <v>31</v>
      </c>
      <c r="B72" s="910"/>
      <c r="C72" s="911"/>
      <c r="D72" s="911"/>
      <c r="E72" s="911"/>
      <c r="F72" s="911"/>
      <c r="G72" s="911"/>
      <c r="H72" s="912"/>
      <c r="I72" s="47"/>
      <c r="J72" s="47"/>
      <c r="K72" s="47"/>
      <c r="L72" s="47"/>
      <c r="M72" s="47"/>
      <c r="N72" s="48"/>
      <c r="O72" s="48"/>
      <c r="P72" s="48"/>
      <c r="Q72" s="607"/>
      <c r="R72" s="140"/>
      <c r="S72" s="231">
        <f>SUM(S15:S71)</f>
        <v>2723</v>
      </c>
      <c r="T72" s="547">
        <f t="shared" ref="T72:AS72" si="119">SUM(T15:T71)</f>
        <v>2722</v>
      </c>
      <c r="U72" s="547">
        <f t="shared" si="119"/>
        <v>7</v>
      </c>
      <c r="V72" s="547">
        <f t="shared" si="119"/>
        <v>7</v>
      </c>
      <c r="W72" s="547">
        <f t="shared" si="119"/>
        <v>36</v>
      </c>
      <c r="X72" s="547">
        <f t="shared" si="119"/>
        <v>36</v>
      </c>
      <c r="Y72" s="547">
        <f t="shared" si="119"/>
        <v>3</v>
      </c>
      <c r="Z72" s="548">
        <f t="shared" si="119"/>
        <v>2</v>
      </c>
      <c r="AA72" s="231">
        <f t="shared" si="119"/>
        <v>43649</v>
      </c>
      <c r="AB72" s="547">
        <f t="shared" si="119"/>
        <v>42649</v>
      </c>
      <c r="AC72" s="547">
        <f t="shared" si="119"/>
        <v>374.2</v>
      </c>
      <c r="AD72" s="547">
        <f t="shared" si="119"/>
        <v>374.2</v>
      </c>
      <c r="AE72" s="547">
        <f t="shared" si="119"/>
        <v>1229.4000000000001</v>
      </c>
      <c r="AF72" s="547">
        <f t="shared" si="119"/>
        <v>1229.4000000000001</v>
      </c>
      <c r="AG72" s="547">
        <f t="shared" si="119"/>
        <v>2000</v>
      </c>
      <c r="AH72" s="547">
        <f t="shared" si="119"/>
        <v>0</v>
      </c>
      <c r="AI72" s="50" t="e">
        <f t="shared" si="119"/>
        <v>#VALUE!</v>
      </c>
      <c r="AJ72" s="576">
        <f t="shared" si="119"/>
        <v>71119934.640000015</v>
      </c>
      <c r="AK72" s="577">
        <f t="shared" si="119"/>
        <v>69490574.640000015</v>
      </c>
      <c r="AL72" s="577">
        <f t="shared" si="119"/>
        <v>3277992</v>
      </c>
      <c r="AM72" s="577">
        <f t="shared" si="119"/>
        <v>3277992</v>
      </c>
      <c r="AN72" s="577">
        <f t="shared" si="119"/>
        <v>2003135.1839999999</v>
      </c>
      <c r="AO72" s="577">
        <f t="shared" si="119"/>
        <v>2003135.1839999999</v>
      </c>
      <c r="AP72" s="577">
        <f t="shared" si="119"/>
        <v>805920</v>
      </c>
      <c r="AQ72" s="578">
        <f t="shared" si="119"/>
        <v>0</v>
      </c>
      <c r="AR72" s="231">
        <f t="shared" si="119"/>
        <v>0</v>
      </c>
      <c r="AS72" s="547">
        <f t="shared" si="119"/>
        <v>0</v>
      </c>
      <c r="AT72" s="98"/>
      <c r="AU72" s="547">
        <f t="shared" ref="AU72:AX72" si="120">SUM(AU15:AU71)</f>
        <v>0</v>
      </c>
      <c r="AV72" s="547">
        <f t="shared" si="120"/>
        <v>0</v>
      </c>
      <c r="AW72" s="547">
        <f t="shared" si="120"/>
        <v>0</v>
      </c>
      <c r="AX72" s="547">
        <f t="shared" si="120"/>
        <v>0</v>
      </c>
      <c r="AY72" s="98"/>
      <c r="AZ72" s="231">
        <f t="shared" ref="AZ72:BE72" si="121">SUM(AZ15:AZ71)</f>
        <v>827298682.78205752</v>
      </c>
      <c r="BA72" s="547">
        <f t="shared" si="121"/>
        <v>0</v>
      </c>
      <c r="BB72" s="547">
        <f t="shared" si="121"/>
        <v>220.44800000000004</v>
      </c>
      <c r="BC72" s="547">
        <f t="shared" si="121"/>
        <v>0</v>
      </c>
      <c r="BD72" s="547" t="e">
        <f t="shared" si="121"/>
        <v>#VALUE!</v>
      </c>
      <c r="BE72" s="547">
        <f t="shared" si="121"/>
        <v>0</v>
      </c>
      <c r="BF72" s="98"/>
      <c r="BG72" s="98"/>
      <c r="BH72" s="547" t="e">
        <f t="shared" ref="BH72:BK72" si="122">SUM(BH15:BH71)</f>
        <v>#VALUE!</v>
      </c>
      <c r="BI72" s="547">
        <f t="shared" si="122"/>
        <v>0</v>
      </c>
      <c r="BJ72" s="547">
        <f t="shared" si="122"/>
        <v>35</v>
      </c>
      <c r="BK72" s="766">
        <f t="shared" si="122"/>
        <v>-0.66666666666666663</v>
      </c>
      <c r="BL72" s="859"/>
      <c r="BM72" s="80"/>
      <c r="BN72" s="79"/>
      <c r="BO72" s="80"/>
      <c r="BP72" s="97"/>
      <c r="BQ72" s="548">
        <f t="shared" ref="BQ72:BR72" si="123">SUM(BQ15:BQ71)</f>
        <v>2110</v>
      </c>
      <c r="BR72" s="231">
        <f t="shared" si="123"/>
        <v>0</v>
      </c>
      <c r="BS72" s="79"/>
      <c r="BT72" s="80"/>
      <c r="BU72" s="79"/>
      <c r="BV72" s="79"/>
      <c r="BW72" s="79"/>
      <c r="BX72" s="80"/>
      <c r="BY72" s="79"/>
      <c r="BZ72" s="79"/>
      <c r="CA72" s="51"/>
      <c r="CB72" s="85"/>
      <c r="CC72" s="231"/>
      <c r="CD72" s="548"/>
      <c r="CE72" s="231"/>
      <c r="CF72" s="548"/>
      <c r="CG72" s="539" t="e">
        <f>SUM(#REF!)</f>
        <v>#REF!</v>
      </c>
    </row>
    <row r="73" spans="1:100" x14ac:dyDescent="0.3">
      <c r="B73" s="6"/>
      <c r="C73" s="6"/>
      <c r="D73" s="7"/>
      <c r="E73" s="7"/>
      <c r="F73" s="124"/>
      <c r="G73" s="124"/>
      <c r="H73" s="7"/>
      <c r="I73" s="124"/>
      <c r="J73" s="124"/>
      <c r="K73" s="124"/>
      <c r="L73" s="124"/>
      <c r="M73" s="124"/>
      <c r="N73" s="580">
        <f>SUM(N15:N71)</f>
        <v>827298682.78205752</v>
      </c>
      <c r="P73" s="581">
        <f>SUM(P15:P70)</f>
        <v>210.57700000000003</v>
      </c>
      <c r="Q73" s="4"/>
      <c r="R73" s="4"/>
      <c r="S73" s="7"/>
      <c r="T73" s="7"/>
      <c r="U73" s="7"/>
      <c r="V73" s="7"/>
      <c r="W73" s="7"/>
      <c r="X73" s="7"/>
      <c r="Y73" s="7"/>
      <c r="Z73" s="7"/>
      <c r="AA73" s="7"/>
      <c r="AB73" s="7"/>
      <c r="AC73" s="7"/>
      <c r="AD73" s="7"/>
      <c r="AE73" s="7"/>
      <c r="AF73" s="7"/>
      <c r="AG73" s="7"/>
      <c r="AH73" s="7"/>
      <c r="AI73" s="7"/>
      <c r="AJ73" s="6"/>
      <c r="AK73" s="6"/>
      <c r="AL73" s="6"/>
      <c r="AM73" s="6"/>
      <c r="AN73" s="6"/>
      <c r="AO73" s="6"/>
      <c r="AP73" s="6"/>
      <c r="AQ73" s="6"/>
      <c r="AR73" s="6"/>
      <c r="AS73" s="6"/>
      <c r="AT73" s="6"/>
      <c r="AU73" s="6"/>
      <c r="AV73" s="6"/>
      <c r="AW73" s="6"/>
      <c r="AX73" s="6"/>
      <c r="AY73" s="6"/>
    </row>
    <row r="74" spans="1:100" x14ac:dyDescent="0.3">
      <c r="A74" s="150" t="s">
        <v>32</v>
      </c>
      <c r="B74" s="152"/>
      <c r="C74" s="151"/>
      <c r="D74" s="152"/>
      <c r="E74" s="152"/>
      <c r="F74" s="152"/>
      <c r="G74" s="152"/>
      <c r="H74" s="152"/>
      <c r="I74" s="152"/>
      <c r="J74" s="152"/>
      <c r="K74" s="152"/>
      <c r="L74" s="152"/>
      <c r="M74" s="152"/>
      <c r="N74" s="152"/>
      <c r="O74" s="152"/>
      <c r="P74" s="152"/>
      <c r="Q74" s="152"/>
      <c r="R74" s="152"/>
      <c r="S74" s="153"/>
      <c r="T74" s="218"/>
      <c r="U74" s="218"/>
      <c r="V74" s="218"/>
      <c r="BD74" s="340"/>
      <c r="BE74" s="340"/>
      <c r="BF74" s="72"/>
      <c r="BG74" s="72"/>
      <c r="BH74" s="340"/>
      <c r="BI74" s="340"/>
      <c r="BM74" s="886"/>
      <c r="BN74" s="886"/>
      <c r="BO74" s="886"/>
      <c r="BP74" s="886"/>
      <c r="BQ74" s="886"/>
      <c r="BR74" s="886"/>
      <c r="BS74" s="886"/>
      <c r="CD74" s="116"/>
      <c r="CE74" s="112"/>
      <c r="CF74" s="112"/>
      <c r="CG74" s="112"/>
      <c r="CH74" s="112"/>
      <c r="CI74" s="131"/>
      <c r="CJ74" s="116"/>
      <c r="CK74" s="116"/>
      <c r="CL74" s="116"/>
      <c r="CM74" s="116"/>
      <c r="CN74" s="116"/>
      <c r="CO74" s="116"/>
      <c r="CP74" s="116"/>
      <c r="CQ74" s="116"/>
      <c r="CR74" s="116"/>
      <c r="CS74" s="116"/>
      <c r="CT74" s="116"/>
      <c r="CU74" s="116"/>
      <c r="CV74" s="132"/>
    </row>
    <row r="75" spans="1:100" x14ac:dyDescent="0.3">
      <c r="A75" s="350" t="s">
        <v>33</v>
      </c>
      <c r="B75" s="158"/>
      <c r="C75" s="155"/>
      <c r="D75" s="158"/>
      <c r="E75" s="158"/>
      <c r="F75" s="158"/>
      <c r="G75" s="158"/>
      <c r="H75" s="158"/>
      <c r="I75" s="158"/>
      <c r="J75" s="158"/>
      <c r="K75" s="158"/>
      <c r="L75" s="158"/>
      <c r="M75" s="158"/>
      <c r="N75" s="158"/>
      <c r="O75" s="158"/>
      <c r="P75" s="158"/>
      <c r="Q75" s="158"/>
      <c r="R75" s="158"/>
      <c r="S75" s="156"/>
      <c r="T75" s="218"/>
      <c r="U75" s="218"/>
      <c r="V75" s="218"/>
      <c r="BM75" s="540"/>
      <c r="BN75" s="540"/>
      <c r="BO75" s="540"/>
      <c r="BP75" s="540"/>
      <c r="BQ75" s="540"/>
      <c r="BR75" s="540"/>
      <c r="BS75" s="540"/>
      <c r="CD75" s="116"/>
      <c r="CE75" s="112"/>
      <c r="CF75" s="112"/>
      <c r="CG75" s="112"/>
      <c r="CH75" s="112"/>
      <c r="CI75" s="131"/>
      <c r="CJ75" s="116"/>
      <c r="CK75" s="116"/>
      <c r="CL75" s="116"/>
      <c r="CM75" s="116"/>
      <c r="CN75" s="116"/>
      <c r="CO75" s="116"/>
      <c r="CP75" s="116"/>
      <c r="CQ75" s="116"/>
      <c r="CR75" s="116"/>
      <c r="CS75" s="116"/>
      <c r="CT75" s="116"/>
      <c r="CU75" s="116"/>
      <c r="CV75" s="132"/>
    </row>
    <row r="76" spans="1:100" x14ac:dyDescent="0.3">
      <c r="A76" s="154" t="s">
        <v>53</v>
      </c>
      <c r="B76" s="158"/>
      <c r="C76" s="155"/>
      <c r="D76" s="158"/>
      <c r="E76" s="158"/>
      <c r="F76" s="158"/>
      <c r="G76" s="158"/>
      <c r="H76" s="158"/>
      <c r="I76" s="158"/>
      <c r="J76" s="158"/>
      <c r="K76" s="158"/>
      <c r="L76" s="158"/>
      <c r="M76" s="158"/>
      <c r="N76" s="158"/>
      <c r="O76" s="158"/>
      <c r="P76" s="158"/>
      <c r="Q76" s="158"/>
      <c r="R76" s="158"/>
      <c r="S76" s="156"/>
      <c r="T76" s="218"/>
      <c r="U76" s="218"/>
      <c r="V76" s="218"/>
      <c r="BM76" s="99"/>
      <c r="BN76" s="99"/>
      <c r="BO76" s="99"/>
      <c r="BP76" s="99"/>
      <c r="BQ76" s="99"/>
      <c r="BR76" s="99"/>
      <c r="BS76" s="99"/>
      <c r="CD76" s="135"/>
      <c r="CE76" s="133"/>
      <c r="CF76" s="133"/>
      <c r="CG76" s="133"/>
      <c r="CH76" s="133"/>
      <c r="CI76" s="133"/>
      <c r="CJ76" s="133"/>
      <c r="CK76" s="133"/>
      <c r="CL76" s="133"/>
      <c r="CM76" s="133"/>
      <c r="CN76" s="133"/>
      <c r="CO76" s="133"/>
      <c r="CP76" s="133"/>
      <c r="CQ76" s="133"/>
      <c r="CR76" s="133"/>
      <c r="CS76" s="133"/>
      <c r="CT76" s="133"/>
      <c r="CU76" s="133"/>
      <c r="CV76" s="134"/>
    </row>
    <row r="77" spans="1:100" ht="15" customHeight="1" x14ac:dyDescent="0.3">
      <c r="A77" s="164" t="s">
        <v>148</v>
      </c>
      <c r="B77" s="158"/>
      <c r="C77" s="142"/>
      <c r="D77" s="142"/>
      <c r="E77" s="142"/>
      <c r="F77" s="142"/>
      <c r="G77" s="142"/>
      <c r="H77" s="142"/>
      <c r="I77" s="142"/>
      <c r="J77" s="142"/>
      <c r="K77" s="142"/>
      <c r="L77" s="142"/>
      <c r="M77" s="142"/>
      <c r="N77" s="142"/>
      <c r="O77" s="142"/>
      <c r="P77" s="142"/>
      <c r="Q77" s="142"/>
      <c r="R77" s="142"/>
      <c r="S77" s="156"/>
      <c r="T77" s="218"/>
      <c r="U77" s="218"/>
      <c r="V77" s="218"/>
      <c r="BO77" s="111"/>
      <c r="BP77" s="111"/>
      <c r="BQ77" s="111"/>
      <c r="BR77" s="111"/>
      <c r="BS77" s="111"/>
      <c r="BT77" s="111"/>
      <c r="BU77" s="111"/>
      <c r="BV77" s="70"/>
      <c r="BW77" s="70"/>
    </row>
    <row r="78" spans="1:100" ht="15" customHeight="1" x14ac:dyDescent="0.3">
      <c r="A78" s="164" t="s">
        <v>149</v>
      </c>
      <c r="B78" s="158"/>
      <c r="C78" s="142"/>
      <c r="D78" s="142"/>
      <c r="E78" s="142"/>
      <c r="F78" s="142"/>
      <c r="G78" s="142"/>
      <c r="H78" s="142"/>
      <c r="I78" s="142"/>
      <c r="J78" s="142"/>
      <c r="K78" s="142"/>
      <c r="L78" s="142"/>
      <c r="M78" s="142"/>
      <c r="N78" s="142"/>
      <c r="O78" s="142"/>
      <c r="P78" s="142"/>
      <c r="Q78" s="142"/>
      <c r="R78" s="142"/>
      <c r="S78" s="156"/>
      <c r="T78" s="218"/>
      <c r="U78" s="218"/>
      <c r="V78" s="218"/>
      <c r="BO78" s="111"/>
      <c r="BP78" s="111"/>
      <c r="BQ78" s="111"/>
      <c r="BR78" s="111"/>
      <c r="BS78" s="111"/>
      <c r="BT78" s="111"/>
      <c r="BU78" s="111"/>
      <c r="BV78" s="70"/>
      <c r="BW78" s="70"/>
    </row>
    <row r="79" spans="1:100" ht="15" customHeight="1" x14ac:dyDescent="0.3">
      <c r="A79" s="164" t="s">
        <v>150</v>
      </c>
      <c r="B79" s="158"/>
      <c r="C79" s="142"/>
      <c r="D79" s="142"/>
      <c r="E79" s="142"/>
      <c r="F79" s="142"/>
      <c r="G79" s="142"/>
      <c r="H79" s="142"/>
      <c r="I79" s="142"/>
      <c r="J79" s="142"/>
      <c r="K79" s="142"/>
      <c r="L79" s="142"/>
      <c r="M79" s="142"/>
      <c r="N79" s="142"/>
      <c r="O79" s="142"/>
      <c r="P79" s="142"/>
      <c r="Q79" s="141"/>
      <c r="R79" s="141"/>
      <c r="S79" s="156"/>
      <c r="T79" s="218"/>
      <c r="U79" s="218"/>
      <c r="V79" s="218"/>
      <c r="BO79" s="111"/>
      <c r="BP79" s="111"/>
      <c r="BQ79" s="111"/>
      <c r="BR79" s="111"/>
      <c r="BS79" s="111"/>
      <c r="BT79" s="111"/>
      <c r="BU79" s="111"/>
      <c r="BV79" s="70"/>
      <c r="BW79" s="70"/>
    </row>
    <row r="80" spans="1:100" x14ac:dyDescent="0.3">
      <c r="A80" s="154" t="s">
        <v>54</v>
      </c>
      <c r="B80" s="158"/>
      <c r="C80" s="155"/>
      <c r="D80" s="158"/>
      <c r="E80" s="158"/>
      <c r="F80" s="158"/>
      <c r="G80" s="158"/>
      <c r="H80" s="158"/>
      <c r="I80" s="158"/>
      <c r="J80" s="158"/>
      <c r="K80" s="158"/>
      <c r="L80" s="158"/>
      <c r="M80" s="158"/>
      <c r="N80" s="158"/>
      <c r="O80" s="158"/>
      <c r="P80" s="158"/>
      <c r="Q80" s="158"/>
      <c r="R80" s="158"/>
      <c r="S80" s="156"/>
      <c r="T80" s="218"/>
      <c r="U80" s="218"/>
      <c r="V80" s="218"/>
      <c r="AP80" s="71"/>
      <c r="AQ80" s="71"/>
      <c r="AR80" s="71"/>
      <c r="AS80" s="71"/>
      <c r="AT80" s="71"/>
      <c r="AU80" s="71"/>
      <c r="AV80" s="71"/>
      <c r="AW80" s="71"/>
      <c r="AX80" s="71"/>
      <c r="AY80" s="71"/>
      <c r="AZ80" s="82"/>
      <c r="BO80" s="70"/>
      <c r="BP80" s="70"/>
      <c r="BQ80" s="70"/>
      <c r="BR80" s="70"/>
      <c r="BS80" s="886"/>
      <c r="BT80" s="886"/>
      <c r="BU80" s="886"/>
      <c r="BV80" s="886"/>
      <c r="BW80" s="886"/>
      <c r="BX80" s="99"/>
      <c r="BY80" s="99"/>
      <c r="CB80" s="71"/>
      <c r="CC80" s="71"/>
      <c r="CD80" s="71"/>
      <c r="CE80" s="71"/>
      <c r="CF80" s="71"/>
    </row>
    <row r="81" spans="1:52" x14ac:dyDescent="0.3">
      <c r="A81" s="164" t="s">
        <v>151</v>
      </c>
      <c r="B81" s="158"/>
      <c r="C81" s="160"/>
      <c r="D81" s="160"/>
      <c r="E81" s="160"/>
      <c r="F81" s="160"/>
      <c r="G81" s="160"/>
      <c r="H81" s="160"/>
      <c r="I81" s="160"/>
      <c r="J81" s="160"/>
      <c r="K81" s="160"/>
      <c r="L81" s="160"/>
      <c r="M81" s="160"/>
      <c r="N81" s="160"/>
      <c r="O81" s="160"/>
      <c r="P81" s="160"/>
      <c r="Q81" s="160"/>
      <c r="R81" s="160"/>
      <c r="S81" s="156"/>
      <c r="T81" s="218"/>
      <c r="U81" s="218"/>
      <c r="V81" s="218"/>
    </row>
    <row r="82" spans="1:52" x14ac:dyDescent="0.3">
      <c r="A82" s="154" t="s">
        <v>152</v>
      </c>
      <c r="B82" s="158"/>
      <c r="C82" s="155"/>
      <c r="D82" s="158"/>
      <c r="E82" s="158"/>
      <c r="F82" s="158"/>
      <c r="G82" s="158"/>
      <c r="H82" s="158"/>
      <c r="I82" s="158"/>
      <c r="J82" s="158"/>
      <c r="K82" s="158"/>
      <c r="L82" s="158"/>
      <c r="M82" s="158"/>
      <c r="N82" s="158"/>
      <c r="O82" s="158"/>
      <c r="P82" s="158"/>
      <c r="Q82" s="158"/>
      <c r="R82" s="158"/>
      <c r="S82" s="156"/>
      <c r="T82" s="218"/>
      <c r="U82" s="218"/>
      <c r="V82" s="218"/>
    </row>
    <row r="83" spans="1:52" ht="15" customHeight="1" x14ac:dyDescent="0.3">
      <c r="A83" s="164" t="s">
        <v>153</v>
      </c>
      <c r="B83" s="158"/>
      <c r="C83" s="142"/>
      <c r="D83" s="142"/>
      <c r="E83" s="142"/>
      <c r="F83" s="142"/>
      <c r="G83" s="142"/>
      <c r="H83" s="142"/>
      <c r="I83" s="142"/>
      <c r="J83" s="142"/>
      <c r="K83" s="142"/>
      <c r="L83" s="142"/>
      <c r="M83" s="142"/>
      <c r="N83" s="142"/>
      <c r="O83" s="142"/>
      <c r="P83" s="142"/>
      <c r="Q83" s="142"/>
      <c r="R83" s="142"/>
      <c r="S83" s="156"/>
      <c r="T83" s="218"/>
      <c r="U83" s="218"/>
      <c r="V83" s="218"/>
    </row>
    <row r="84" spans="1:52" x14ac:dyDescent="0.3">
      <c r="A84" s="164" t="s">
        <v>154</v>
      </c>
      <c r="B84" s="158"/>
      <c r="C84" s="160"/>
      <c r="D84" s="160"/>
      <c r="E84" s="160"/>
      <c r="F84" s="160"/>
      <c r="G84" s="160"/>
      <c r="H84" s="160"/>
      <c r="I84" s="160"/>
      <c r="J84" s="160"/>
      <c r="K84" s="160"/>
      <c r="L84" s="160"/>
      <c r="M84" s="160"/>
      <c r="N84" s="160"/>
      <c r="O84" s="160"/>
      <c r="P84" s="160"/>
      <c r="Q84" s="160"/>
      <c r="R84" s="160"/>
      <c r="S84" s="156"/>
      <c r="T84" s="218"/>
      <c r="U84" s="218"/>
      <c r="V84" s="218"/>
    </row>
    <row r="85" spans="1:52" s="136" customFormat="1" x14ac:dyDescent="0.3">
      <c r="A85" s="154" t="s">
        <v>155</v>
      </c>
      <c r="B85" s="159"/>
      <c r="C85" s="155"/>
      <c r="D85" s="159"/>
      <c r="E85" s="159"/>
      <c r="F85" s="159"/>
      <c r="G85" s="159"/>
      <c r="H85" s="159"/>
      <c r="I85" s="159"/>
      <c r="J85" s="159"/>
      <c r="K85" s="159"/>
      <c r="L85" s="159"/>
      <c r="M85" s="159"/>
      <c r="N85" s="159"/>
      <c r="O85" s="159"/>
      <c r="P85" s="159"/>
      <c r="Q85" s="159"/>
      <c r="R85" s="159"/>
      <c r="S85" s="165"/>
      <c r="T85" s="351"/>
      <c r="U85" s="351"/>
      <c r="V85" s="351"/>
      <c r="AZ85" s="83"/>
    </row>
    <row r="86" spans="1:52" s="136" customFormat="1" x14ac:dyDescent="0.3">
      <c r="A86" s="164" t="s">
        <v>156</v>
      </c>
      <c r="B86" s="159"/>
      <c r="C86" s="142"/>
      <c r="D86" s="142"/>
      <c r="E86" s="142"/>
      <c r="F86" s="142"/>
      <c r="G86" s="142"/>
      <c r="H86" s="142"/>
      <c r="I86" s="142"/>
      <c r="J86" s="142"/>
      <c r="K86" s="142"/>
      <c r="L86" s="142"/>
      <c r="M86" s="142"/>
      <c r="N86" s="142"/>
      <c r="O86" s="142"/>
      <c r="P86" s="142"/>
      <c r="Q86" s="142"/>
      <c r="R86" s="142"/>
      <c r="S86" s="165"/>
      <c r="T86" s="351"/>
      <c r="U86" s="351"/>
      <c r="V86" s="351"/>
      <c r="AZ86" s="83"/>
    </row>
    <row r="87" spans="1:52" x14ac:dyDescent="0.3">
      <c r="A87" s="154" t="s">
        <v>157</v>
      </c>
      <c r="B87" s="158"/>
      <c r="C87" s="155"/>
      <c r="D87" s="158"/>
      <c r="E87" s="158"/>
      <c r="F87" s="158"/>
      <c r="G87" s="158"/>
      <c r="H87" s="158"/>
      <c r="I87" s="158"/>
      <c r="J87" s="158"/>
      <c r="K87" s="158"/>
      <c r="L87" s="158"/>
      <c r="M87" s="158"/>
      <c r="N87" s="158"/>
      <c r="O87" s="158"/>
      <c r="P87" s="158"/>
      <c r="Q87" s="158"/>
      <c r="R87" s="158"/>
      <c r="S87" s="156"/>
      <c r="T87" s="218"/>
      <c r="U87" s="218"/>
      <c r="V87" s="218"/>
    </row>
    <row r="88" spans="1:52" ht="15" customHeight="1" x14ac:dyDescent="0.3">
      <c r="A88" s="164" t="s">
        <v>158</v>
      </c>
      <c r="B88" s="158"/>
      <c r="C88" s="142"/>
      <c r="D88" s="142"/>
      <c r="E88" s="142"/>
      <c r="F88" s="142"/>
      <c r="G88" s="142"/>
      <c r="H88" s="142"/>
      <c r="I88" s="142"/>
      <c r="J88" s="142"/>
      <c r="K88" s="142"/>
      <c r="L88" s="142"/>
      <c r="M88" s="142"/>
      <c r="N88" s="142"/>
      <c r="O88" s="142"/>
      <c r="P88" s="142"/>
      <c r="Q88" s="142"/>
      <c r="R88" s="142"/>
      <c r="S88" s="156"/>
      <c r="T88" s="218"/>
      <c r="U88" s="218"/>
      <c r="V88" s="218"/>
    </row>
    <row r="89" spans="1:52" ht="15" customHeight="1" x14ac:dyDescent="0.3">
      <c r="A89" s="164" t="s">
        <v>159</v>
      </c>
      <c r="B89" s="158"/>
      <c r="C89" s="142"/>
      <c r="D89" s="142"/>
      <c r="E89" s="142"/>
      <c r="F89" s="142"/>
      <c r="G89" s="142"/>
      <c r="H89" s="142"/>
      <c r="I89" s="142"/>
      <c r="J89" s="142"/>
      <c r="K89" s="142"/>
      <c r="L89" s="142"/>
      <c r="M89" s="142"/>
      <c r="N89" s="142"/>
      <c r="O89" s="142"/>
      <c r="P89" s="142"/>
      <c r="Q89" s="142"/>
      <c r="R89" s="142"/>
      <c r="S89" s="156"/>
      <c r="T89" s="218"/>
      <c r="U89" s="218"/>
      <c r="V89" s="218"/>
    </row>
    <row r="90" spans="1:52" ht="15" customHeight="1" x14ac:dyDescent="0.3">
      <c r="A90" s="164" t="s">
        <v>160</v>
      </c>
      <c r="B90" s="158"/>
      <c r="C90" s="142"/>
      <c r="D90" s="142"/>
      <c r="E90" s="142"/>
      <c r="F90" s="142"/>
      <c r="G90" s="142"/>
      <c r="H90" s="142"/>
      <c r="I90" s="142"/>
      <c r="J90" s="142"/>
      <c r="K90" s="142"/>
      <c r="L90" s="142"/>
      <c r="M90" s="142"/>
      <c r="N90" s="142"/>
      <c r="O90" s="142"/>
      <c r="P90" s="142"/>
      <c r="Q90" s="142"/>
      <c r="R90" s="142"/>
      <c r="S90" s="156"/>
      <c r="T90" s="218"/>
      <c r="U90" s="218"/>
      <c r="V90" s="218"/>
    </row>
    <row r="91" spans="1:52" ht="15" customHeight="1" x14ac:dyDescent="0.3">
      <c r="A91" s="166" t="s">
        <v>161</v>
      </c>
      <c r="B91" s="158"/>
      <c r="C91" s="161"/>
      <c r="D91" s="161"/>
      <c r="E91" s="161"/>
      <c r="F91" s="161"/>
      <c r="G91" s="161"/>
      <c r="H91" s="161"/>
      <c r="I91" s="161"/>
      <c r="J91" s="161"/>
      <c r="K91" s="161"/>
      <c r="L91" s="161"/>
      <c r="M91" s="161"/>
      <c r="N91" s="161"/>
      <c r="O91" s="161"/>
      <c r="P91" s="161"/>
      <c r="Q91" s="161"/>
      <c r="R91" s="161"/>
      <c r="S91" s="156"/>
      <c r="T91" s="218"/>
      <c r="U91" s="218"/>
      <c r="V91" s="218"/>
    </row>
    <row r="92" spans="1:52" x14ac:dyDescent="0.3">
      <c r="A92" s="157" t="s">
        <v>162</v>
      </c>
      <c r="B92" s="158"/>
      <c r="C92" s="155"/>
      <c r="D92" s="158"/>
      <c r="E92" s="158"/>
      <c r="F92" s="158"/>
      <c r="G92" s="158"/>
      <c r="H92" s="158"/>
      <c r="I92" s="158"/>
      <c r="J92" s="158"/>
      <c r="K92" s="158"/>
      <c r="L92" s="158"/>
      <c r="M92" s="158"/>
      <c r="N92" s="158"/>
      <c r="O92" s="158"/>
      <c r="P92" s="158"/>
      <c r="Q92" s="158"/>
      <c r="R92" s="158"/>
      <c r="S92" s="156"/>
      <c r="T92" s="218"/>
      <c r="U92" s="218"/>
      <c r="V92" s="218"/>
    </row>
    <row r="93" spans="1:52" x14ac:dyDescent="0.3">
      <c r="A93" s="166" t="s">
        <v>163</v>
      </c>
      <c r="B93" s="158"/>
      <c r="C93" s="161"/>
      <c r="D93" s="161"/>
      <c r="E93" s="161"/>
      <c r="F93" s="161"/>
      <c r="G93" s="161"/>
      <c r="H93" s="161"/>
      <c r="I93" s="161"/>
      <c r="J93" s="161"/>
      <c r="K93" s="161"/>
      <c r="L93" s="161"/>
      <c r="M93" s="161"/>
      <c r="N93" s="161"/>
      <c r="O93" s="161"/>
      <c r="P93" s="161"/>
      <c r="Q93" s="161"/>
      <c r="R93" s="161"/>
      <c r="S93" s="156"/>
      <c r="T93" s="218"/>
      <c r="U93" s="218"/>
      <c r="V93" s="218"/>
    </row>
    <row r="94" spans="1:52" x14ac:dyDescent="0.3">
      <c r="A94" s="166" t="s">
        <v>164</v>
      </c>
      <c r="B94" s="158"/>
      <c r="C94" s="162"/>
      <c r="D94" s="162"/>
      <c r="E94" s="162"/>
      <c r="F94" s="162"/>
      <c r="G94" s="162"/>
      <c r="H94" s="162"/>
      <c r="I94" s="162"/>
      <c r="J94" s="162"/>
      <c r="K94" s="162"/>
      <c r="L94" s="162"/>
      <c r="M94" s="162"/>
      <c r="N94" s="162"/>
      <c r="O94" s="162"/>
      <c r="P94" s="162"/>
      <c r="Q94" s="162"/>
      <c r="R94" s="162"/>
      <c r="S94" s="156"/>
      <c r="T94" s="218"/>
      <c r="U94" s="218"/>
      <c r="V94" s="218"/>
    </row>
    <row r="95" spans="1:52" x14ac:dyDescent="0.3">
      <c r="A95" s="167" t="s">
        <v>165</v>
      </c>
      <c r="B95" s="168"/>
      <c r="C95" s="144"/>
      <c r="D95" s="144"/>
      <c r="E95" s="144"/>
      <c r="F95" s="144"/>
      <c r="G95" s="144"/>
      <c r="H95" s="144"/>
      <c r="I95" s="144"/>
      <c r="J95" s="144"/>
      <c r="K95" s="144"/>
      <c r="L95" s="144"/>
      <c r="M95" s="144"/>
      <c r="N95" s="144"/>
      <c r="O95" s="144"/>
      <c r="P95" s="144"/>
      <c r="Q95" s="144"/>
      <c r="R95" s="144"/>
      <c r="S95" s="169"/>
      <c r="T95" s="218"/>
      <c r="U95" s="218"/>
      <c r="V95" s="218"/>
    </row>
    <row r="96" spans="1:52" x14ac:dyDescent="0.3">
      <c r="C96" s="72"/>
    </row>
    <row r="98" spans="1:2" ht="21.75" customHeight="1" x14ac:dyDescent="0.3">
      <c r="A98" s="123" t="s">
        <v>502</v>
      </c>
      <c r="B98" s="123" t="s">
        <v>503</v>
      </c>
    </row>
  </sheetData>
  <mergeCells count="36">
    <mergeCell ref="AR11:AY13"/>
    <mergeCell ref="Q11:R13"/>
    <mergeCell ref="AA12:AI12"/>
    <mergeCell ref="I11:P13"/>
    <mergeCell ref="S12:Z12"/>
    <mergeCell ref="S13:T13"/>
    <mergeCell ref="S11:AQ11"/>
    <mergeCell ref="AG13:AH13"/>
    <mergeCell ref="U13:V13"/>
    <mergeCell ref="W13:X13"/>
    <mergeCell ref="Y13:Z13"/>
    <mergeCell ref="AA13:AB13"/>
    <mergeCell ref="AC13:AD13"/>
    <mergeCell ref="AE13:AF13"/>
    <mergeCell ref="AJ12:AQ12"/>
    <mergeCell ref="B72:H72"/>
    <mergeCell ref="AP13:AQ13"/>
    <mergeCell ref="AJ13:AK13"/>
    <mergeCell ref="AL13:AM13"/>
    <mergeCell ref="AN13:AO13"/>
    <mergeCell ref="A11:H13"/>
    <mergeCell ref="BS80:BW80"/>
    <mergeCell ref="BM74:BS74"/>
    <mergeCell ref="CB11:CG11"/>
    <mergeCell ref="CE12:CF12"/>
    <mergeCell ref="CE13:CF13"/>
    <mergeCell ref="CC13:CD13"/>
    <mergeCell ref="CB12:CD12"/>
    <mergeCell ref="CG12:CG13"/>
    <mergeCell ref="BO12:BQ13"/>
    <mergeCell ref="AZ11:CA11"/>
    <mergeCell ref="AZ12:BK13"/>
    <mergeCell ref="BT12:CA12"/>
    <mergeCell ref="BT13:CA13"/>
    <mergeCell ref="BR12:BS13"/>
    <mergeCell ref="BM12:BN13"/>
  </mergeCells>
  <printOptions headings="1" gridLines="1"/>
  <pageMargins left="0.7" right="0.7" top="0.75" bottom="0.75" header="0.3" footer="0.3"/>
  <pageSetup scale="1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pageSetUpPr fitToPage="1"/>
  </sheetPr>
  <dimension ref="A1:CX97"/>
  <sheetViews>
    <sheetView zoomScale="70" zoomScaleNormal="70" workbookViewId="0">
      <pane xSplit="6" ySplit="14" topLeftCell="G21" activePane="bottomRight" state="frozen"/>
      <selection activeCell="S57" sqref="S57"/>
      <selection pane="topRight" activeCell="S57" sqref="S57"/>
      <selection pane="bottomLeft" activeCell="S57" sqref="S57"/>
      <selection pane="bottomRight" activeCell="N43" sqref="N43"/>
    </sheetView>
  </sheetViews>
  <sheetFormatPr defaultColWidth="8.6640625" defaultRowHeight="14.4" x14ac:dyDescent="0.3"/>
  <cols>
    <col min="1" max="1" width="23.33203125" style="123" customWidth="1"/>
    <col min="2" max="4" width="15.6640625" style="123" customWidth="1"/>
    <col min="5" max="6" width="22" style="123" bestFit="1" customWidth="1"/>
    <col min="7" max="7" width="15.6640625" style="123" customWidth="1"/>
    <col min="8" max="8" width="18.88671875" style="123" customWidth="1"/>
    <col min="9" max="9" width="14.6640625" style="123" customWidth="1"/>
    <col min="10" max="13" width="12.6640625" style="123" customWidth="1"/>
    <col min="14" max="14" width="16.6640625" style="123" customWidth="1"/>
    <col min="15" max="15" width="15.5546875" style="123" customWidth="1"/>
    <col min="16" max="16" width="14.109375" style="123" customWidth="1"/>
    <col min="17" max="17" width="18.33203125" style="123" customWidth="1"/>
    <col min="18" max="18" width="17.5546875" style="123" customWidth="1"/>
    <col min="19" max="24" width="18.6640625" style="123" customWidth="1"/>
    <col min="25" max="26" width="18.44140625" style="123" customWidth="1"/>
    <col min="27" max="35" width="19.6640625" style="123" customWidth="1"/>
    <col min="36" max="36" width="21.33203125" style="123" customWidth="1"/>
    <col min="37" max="37" width="18.6640625" style="123" customWidth="1"/>
    <col min="38" max="43" width="19.6640625" style="123" customWidth="1"/>
    <col min="44" max="44" width="21.44140625" style="123" customWidth="1"/>
    <col min="45" max="45" width="22.6640625" style="123" bestFit="1" customWidth="1"/>
    <col min="46" max="53" width="19.6640625" style="123" customWidth="1"/>
    <col min="54" max="54" width="16.5546875" style="81" customWidth="1"/>
    <col min="55" max="56" width="13.6640625" style="123" customWidth="1"/>
    <col min="57" max="57" width="15.109375" style="123" customWidth="1"/>
    <col min="58" max="65" width="13.6640625" style="123" customWidth="1"/>
    <col min="66" max="66" width="18.88671875" style="123" customWidth="1"/>
    <col min="67" max="68" width="14.6640625" style="123" customWidth="1"/>
    <col min="69" max="73" width="15.6640625" style="123" customWidth="1"/>
    <col min="74" max="81" width="20.109375" style="123" customWidth="1"/>
    <col min="82" max="82" width="25.6640625" style="123" customWidth="1"/>
    <col min="83" max="83" width="17" style="123" customWidth="1"/>
    <col min="84" max="84" width="18.109375" style="123" customWidth="1"/>
    <col min="85" max="85" width="20.109375" style="123" customWidth="1"/>
    <col min="86" max="86" width="21.44140625" style="123" customWidth="1"/>
    <col min="87" max="87" width="14.44140625" style="123" customWidth="1"/>
    <col min="88" max="16384" width="8.6640625" style="123"/>
  </cols>
  <sheetData>
    <row r="1" spans="1:87" ht="21.75" customHeight="1" x14ac:dyDescent="0.35">
      <c r="A1" s="1" t="s">
        <v>166</v>
      </c>
      <c r="B1" s="1" t="s">
        <v>46</v>
      </c>
      <c r="C1" s="139"/>
      <c r="D1" s="250" t="s">
        <v>2</v>
      </c>
      <c r="E1" s="250" t="s">
        <v>69</v>
      </c>
      <c r="G1" s="1"/>
      <c r="H1" s="1"/>
      <c r="S1" s="23"/>
      <c r="T1" s="24"/>
      <c r="U1" s="23"/>
      <c r="V1" s="23"/>
      <c r="W1" s="23"/>
      <c r="X1" s="23"/>
      <c r="AA1" s="23"/>
      <c r="AB1" s="23"/>
      <c r="AC1" s="23"/>
      <c r="AD1" s="23"/>
      <c r="AE1" s="23"/>
      <c r="AF1" s="23"/>
      <c r="AG1" s="23"/>
      <c r="AH1" s="23"/>
      <c r="AI1" s="23"/>
      <c r="AJ1" s="23"/>
      <c r="AK1" s="23"/>
      <c r="AL1" s="23"/>
      <c r="AM1" s="23"/>
      <c r="AN1" s="23"/>
      <c r="AO1" s="23"/>
      <c r="AP1" s="23"/>
      <c r="AQ1" s="23"/>
      <c r="AR1" s="23"/>
    </row>
    <row r="2" spans="1:87" x14ac:dyDescent="0.3">
      <c r="A2" s="2"/>
      <c r="B2" s="2"/>
      <c r="C2" s="2"/>
      <c r="D2" s="250" t="s">
        <v>4</v>
      </c>
      <c r="E2" s="265">
        <v>2023</v>
      </c>
    </row>
    <row r="3" spans="1:87" x14ac:dyDescent="0.3">
      <c r="B3" s="2"/>
      <c r="C3" s="2"/>
      <c r="D3" s="2"/>
      <c r="E3" s="2"/>
    </row>
    <row r="4" spans="1:87" ht="15" customHeight="1" x14ac:dyDescent="0.3">
      <c r="A4" s="181" t="s">
        <v>47</v>
      </c>
      <c r="B4" s="152"/>
      <c r="C4" s="146"/>
      <c r="D4" s="146"/>
      <c r="E4" s="146"/>
      <c r="F4" s="147"/>
      <c r="G4" s="148"/>
      <c r="H4" s="148"/>
      <c r="I4" s="148"/>
      <c r="J4" s="148"/>
      <c r="K4" s="148"/>
      <c r="L4" s="148"/>
      <c r="M4" s="124"/>
      <c r="N4" s="124"/>
      <c r="O4" s="124"/>
      <c r="P4" s="124"/>
      <c r="Q4" s="124"/>
    </row>
    <row r="5" spans="1:87" ht="15" customHeight="1" x14ac:dyDescent="0.3">
      <c r="A5" s="164" t="s">
        <v>48</v>
      </c>
      <c r="B5" s="158"/>
      <c r="C5" s="142"/>
      <c r="D5" s="142"/>
      <c r="E5" s="142"/>
      <c r="F5" s="143"/>
      <c r="G5" s="71"/>
      <c r="H5" s="71"/>
      <c r="I5" s="71"/>
      <c r="J5" s="71"/>
      <c r="K5" s="71"/>
      <c r="L5" s="71"/>
    </row>
    <row r="6" spans="1:87" ht="15" customHeight="1" x14ac:dyDescent="0.3">
      <c r="A6" s="164" t="s">
        <v>49</v>
      </c>
      <c r="B6" s="158"/>
      <c r="C6" s="142"/>
      <c r="D6" s="142"/>
      <c r="E6" s="142"/>
      <c r="F6" s="143"/>
      <c r="G6" s="71"/>
      <c r="H6" s="71"/>
      <c r="I6" s="71"/>
      <c r="J6" s="71"/>
      <c r="K6" s="71"/>
      <c r="L6" s="71"/>
      <c r="T6" s="39"/>
      <c r="U6" s="39"/>
      <c r="V6" s="39"/>
    </row>
    <row r="7" spans="1:87" ht="15" customHeight="1" x14ac:dyDescent="0.3">
      <c r="A7" s="164" t="s">
        <v>50</v>
      </c>
      <c r="B7" s="158"/>
      <c r="C7" s="142"/>
      <c r="D7" s="142"/>
      <c r="E7" s="142"/>
      <c r="F7" s="143"/>
      <c r="G7" s="71"/>
      <c r="H7" s="71"/>
      <c r="I7" s="71"/>
      <c r="J7" s="71"/>
      <c r="K7" s="71"/>
      <c r="L7" s="71"/>
      <c r="T7" s="39"/>
      <c r="U7" s="39"/>
      <c r="V7" s="39"/>
    </row>
    <row r="8" spans="1:87" ht="15" customHeight="1" x14ac:dyDescent="0.3">
      <c r="A8" s="164" t="s">
        <v>51</v>
      </c>
      <c r="B8" s="158"/>
      <c r="C8" s="142"/>
      <c r="D8" s="142"/>
      <c r="E8" s="142"/>
      <c r="F8" s="143"/>
      <c r="G8" s="71"/>
      <c r="H8" s="71"/>
      <c r="I8" s="71"/>
      <c r="J8" s="71"/>
      <c r="K8" s="71"/>
      <c r="L8" s="71"/>
      <c r="T8" s="39"/>
      <c r="U8" s="39"/>
      <c r="V8" s="39"/>
    </row>
    <row r="9" spans="1:87" ht="15" customHeight="1" x14ac:dyDescent="0.3">
      <c r="A9" s="167" t="s">
        <v>52</v>
      </c>
      <c r="B9" s="168"/>
      <c r="C9" s="144"/>
      <c r="D9" s="144"/>
      <c r="E9" s="144"/>
      <c r="F9" s="145"/>
      <c r="G9" s="71"/>
      <c r="H9" s="71"/>
      <c r="I9" s="71"/>
      <c r="J9" s="71"/>
      <c r="K9" s="71"/>
      <c r="L9" s="71"/>
      <c r="T9" s="39"/>
      <c r="U9" s="39"/>
      <c r="V9" s="39"/>
    </row>
    <row r="10" spans="1:87" ht="15" thickBot="1" x14ac:dyDescent="0.35"/>
    <row r="11" spans="1:87" ht="15" thickBot="1" x14ac:dyDescent="0.35">
      <c r="A11" s="917" t="s">
        <v>53</v>
      </c>
      <c r="B11" s="918"/>
      <c r="C11" s="918"/>
      <c r="D11" s="918"/>
      <c r="E11" s="918"/>
      <c r="F11" s="918"/>
      <c r="G11" s="918"/>
      <c r="H11" s="919"/>
      <c r="I11" s="941" t="s">
        <v>54</v>
      </c>
      <c r="J11" s="941"/>
      <c r="K11" s="941"/>
      <c r="L11" s="941"/>
      <c r="M11" s="941"/>
      <c r="N11" s="941"/>
      <c r="O11" s="941"/>
      <c r="P11" s="942"/>
      <c r="Q11" s="932" t="s">
        <v>55</v>
      </c>
      <c r="R11" s="933"/>
      <c r="S11" s="947" t="s">
        <v>56</v>
      </c>
      <c r="T11" s="948"/>
      <c r="U11" s="948"/>
      <c r="V11" s="948"/>
      <c r="W11" s="948"/>
      <c r="X11" s="948"/>
      <c r="Y11" s="948"/>
      <c r="Z11" s="948"/>
      <c r="AA11" s="948"/>
      <c r="AB11" s="948"/>
      <c r="AC11" s="948"/>
      <c r="AD11" s="948"/>
      <c r="AE11" s="948"/>
      <c r="AF11" s="948"/>
      <c r="AG11" s="948"/>
      <c r="AH11" s="948"/>
      <c r="AI11" s="948"/>
      <c r="AJ11" s="948"/>
      <c r="AK11" s="948"/>
      <c r="AL11" s="948"/>
      <c r="AM11" s="948"/>
      <c r="AN11" s="948"/>
      <c r="AO11" s="948"/>
      <c r="AP11" s="948"/>
      <c r="AQ11" s="948"/>
      <c r="AR11" s="948"/>
      <c r="AS11" s="949"/>
      <c r="AT11" s="923" t="s">
        <v>333</v>
      </c>
      <c r="AU11" s="924"/>
      <c r="AV11" s="924"/>
      <c r="AW11" s="924"/>
      <c r="AX11" s="924"/>
      <c r="AY11" s="924"/>
      <c r="AZ11" s="924"/>
      <c r="BA11" s="925"/>
      <c r="BB11" s="901" t="s">
        <v>57</v>
      </c>
      <c r="BC11" s="902"/>
      <c r="BD11" s="902"/>
      <c r="BE11" s="902"/>
      <c r="BF11" s="902"/>
      <c r="BG11" s="902"/>
      <c r="BH11" s="902"/>
      <c r="BI11" s="902"/>
      <c r="BJ11" s="902"/>
      <c r="BK11" s="902"/>
      <c r="BL11" s="902"/>
      <c r="BM11" s="902"/>
      <c r="BN11" s="902"/>
      <c r="BO11" s="902"/>
      <c r="BP11" s="902"/>
      <c r="BQ11" s="902"/>
      <c r="BR11" s="902"/>
      <c r="BS11" s="902"/>
      <c r="BT11" s="902"/>
      <c r="BU11" s="902"/>
      <c r="BV11" s="902"/>
      <c r="BW11" s="902"/>
      <c r="BX11" s="902"/>
      <c r="BY11" s="902"/>
      <c r="BZ11" s="902"/>
      <c r="CA11" s="902"/>
      <c r="CB11" s="902"/>
      <c r="CC11" s="903"/>
      <c r="CD11" s="887" t="s">
        <v>58</v>
      </c>
      <c r="CE11" s="888"/>
      <c r="CF11" s="888"/>
      <c r="CG11" s="888"/>
      <c r="CH11" s="888"/>
      <c r="CI11" s="889"/>
    </row>
    <row r="12" spans="1:87" ht="15.75" customHeight="1" thickBot="1" x14ac:dyDescent="0.35">
      <c r="A12" s="920"/>
      <c r="B12" s="921"/>
      <c r="C12" s="921"/>
      <c r="D12" s="921"/>
      <c r="E12" s="921"/>
      <c r="F12" s="921"/>
      <c r="G12" s="921"/>
      <c r="H12" s="922"/>
      <c r="I12" s="943"/>
      <c r="J12" s="943"/>
      <c r="K12" s="943"/>
      <c r="L12" s="943"/>
      <c r="M12" s="943"/>
      <c r="N12" s="943"/>
      <c r="O12" s="943"/>
      <c r="P12" s="944"/>
      <c r="Q12" s="934"/>
      <c r="R12" s="935"/>
      <c r="S12" s="938" t="s">
        <v>59</v>
      </c>
      <c r="T12" s="939"/>
      <c r="U12" s="939"/>
      <c r="V12" s="939"/>
      <c r="W12" s="939"/>
      <c r="X12" s="939"/>
      <c r="Y12" s="939"/>
      <c r="Z12" s="940"/>
      <c r="AA12" s="938" t="s">
        <v>60</v>
      </c>
      <c r="AB12" s="939"/>
      <c r="AC12" s="939"/>
      <c r="AD12" s="939"/>
      <c r="AE12" s="939"/>
      <c r="AF12" s="939"/>
      <c r="AG12" s="939"/>
      <c r="AH12" s="939"/>
      <c r="AI12" s="939"/>
      <c r="AJ12" s="939"/>
      <c r="AK12" s="940"/>
      <c r="AL12" s="950" t="s">
        <v>61</v>
      </c>
      <c r="AM12" s="951"/>
      <c r="AN12" s="951"/>
      <c r="AO12" s="951"/>
      <c r="AP12" s="951"/>
      <c r="AQ12" s="951"/>
      <c r="AR12" s="951"/>
      <c r="AS12" s="952"/>
      <c r="AT12" s="926"/>
      <c r="AU12" s="927"/>
      <c r="AV12" s="927"/>
      <c r="AW12" s="927"/>
      <c r="AX12" s="927"/>
      <c r="AY12" s="927"/>
      <c r="AZ12" s="927"/>
      <c r="BA12" s="928"/>
      <c r="BB12" s="887" t="s">
        <v>62</v>
      </c>
      <c r="BC12" s="904"/>
      <c r="BD12" s="904"/>
      <c r="BE12" s="904"/>
      <c r="BF12" s="904"/>
      <c r="BG12" s="904"/>
      <c r="BH12" s="904"/>
      <c r="BI12" s="904"/>
      <c r="BJ12" s="904"/>
      <c r="BK12" s="904"/>
      <c r="BL12" s="904"/>
      <c r="BM12" s="904"/>
      <c r="BN12" s="905"/>
      <c r="BO12" s="895" t="s">
        <v>63</v>
      </c>
      <c r="BP12" s="896"/>
      <c r="BQ12" s="895" t="s">
        <v>64</v>
      </c>
      <c r="BR12" s="896"/>
      <c r="BS12" s="897"/>
      <c r="BT12" s="895" t="s">
        <v>65</v>
      </c>
      <c r="BU12" s="897"/>
      <c r="BV12" s="890" t="s">
        <v>66</v>
      </c>
      <c r="BW12" s="909"/>
      <c r="BX12" s="909"/>
      <c r="BY12" s="909"/>
      <c r="BZ12" s="909"/>
      <c r="CA12" s="909"/>
      <c r="CB12" s="909"/>
      <c r="CC12" s="909"/>
      <c r="CD12" s="890" t="s">
        <v>67</v>
      </c>
      <c r="CE12" s="892"/>
      <c r="CF12" s="892"/>
      <c r="CG12" s="890" t="s">
        <v>68</v>
      </c>
      <c r="CH12" s="870"/>
      <c r="CI12" s="893" t="s">
        <v>69</v>
      </c>
    </row>
    <row r="13" spans="1:87" ht="29.4" thickBot="1" x14ac:dyDescent="0.35">
      <c r="A13" s="920"/>
      <c r="B13" s="921"/>
      <c r="C13" s="921"/>
      <c r="D13" s="921"/>
      <c r="E13" s="921"/>
      <c r="F13" s="921"/>
      <c r="G13" s="921"/>
      <c r="H13" s="922"/>
      <c r="I13" s="945"/>
      <c r="J13" s="945"/>
      <c r="K13" s="945"/>
      <c r="L13" s="945"/>
      <c r="M13" s="945"/>
      <c r="N13" s="945"/>
      <c r="O13" s="945"/>
      <c r="P13" s="946"/>
      <c r="Q13" s="936"/>
      <c r="R13" s="937"/>
      <c r="S13" s="915" t="s">
        <v>461</v>
      </c>
      <c r="T13" s="916"/>
      <c r="U13" s="913" t="s">
        <v>462</v>
      </c>
      <c r="V13" s="916"/>
      <c r="W13" s="913" t="s">
        <v>463</v>
      </c>
      <c r="X13" s="914"/>
      <c r="Y13" s="913" t="s">
        <v>464</v>
      </c>
      <c r="Z13" s="914"/>
      <c r="AA13" s="915" t="s">
        <v>461</v>
      </c>
      <c r="AB13" s="916"/>
      <c r="AC13" s="913" t="s">
        <v>462</v>
      </c>
      <c r="AD13" s="916"/>
      <c r="AE13" s="913" t="s">
        <v>463</v>
      </c>
      <c r="AF13" s="914"/>
      <c r="AG13" s="913" t="s">
        <v>464</v>
      </c>
      <c r="AH13" s="914"/>
      <c r="AI13" s="953" t="s">
        <v>73</v>
      </c>
      <c r="AJ13" s="892"/>
      <c r="AK13" s="149" t="s">
        <v>74</v>
      </c>
      <c r="AL13" s="915" t="s">
        <v>70</v>
      </c>
      <c r="AM13" s="916"/>
      <c r="AN13" s="913" t="s">
        <v>71</v>
      </c>
      <c r="AO13" s="916"/>
      <c r="AP13" s="913" t="s">
        <v>72</v>
      </c>
      <c r="AQ13" s="914"/>
      <c r="AR13" s="953" t="s">
        <v>73</v>
      </c>
      <c r="AS13" s="892"/>
      <c r="AT13" s="929"/>
      <c r="AU13" s="930"/>
      <c r="AV13" s="930"/>
      <c r="AW13" s="930"/>
      <c r="AX13" s="930"/>
      <c r="AY13" s="930"/>
      <c r="AZ13" s="930"/>
      <c r="BA13" s="931"/>
      <c r="BB13" s="906"/>
      <c r="BC13" s="907"/>
      <c r="BD13" s="907"/>
      <c r="BE13" s="907"/>
      <c r="BF13" s="907"/>
      <c r="BG13" s="907"/>
      <c r="BH13" s="907"/>
      <c r="BI13" s="907"/>
      <c r="BJ13" s="907"/>
      <c r="BK13" s="907"/>
      <c r="BL13" s="907"/>
      <c r="BM13" s="907"/>
      <c r="BN13" s="908"/>
      <c r="BO13" s="898"/>
      <c r="BP13" s="899"/>
      <c r="BQ13" s="898"/>
      <c r="BR13" s="899"/>
      <c r="BS13" s="900"/>
      <c r="BT13" s="898"/>
      <c r="BU13" s="900"/>
      <c r="BV13" s="895" t="s">
        <v>75</v>
      </c>
      <c r="BW13" s="896"/>
      <c r="BX13" s="896"/>
      <c r="BY13" s="896"/>
      <c r="BZ13" s="896"/>
      <c r="CA13" s="896"/>
      <c r="CB13" s="896"/>
      <c r="CC13" s="896"/>
      <c r="CD13" s="541" t="s">
        <v>76</v>
      </c>
      <c r="CE13" s="890" t="s">
        <v>77</v>
      </c>
      <c r="CF13" s="891"/>
      <c r="CG13" s="890" t="s">
        <v>78</v>
      </c>
      <c r="CH13" s="891"/>
      <c r="CI13" s="894"/>
    </row>
    <row r="14" spans="1:87" ht="98.25" customHeight="1" thickBot="1" x14ac:dyDescent="0.35">
      <c r="A14" s="343" t="s">
        <v>2</v>
      </c>
      <c r="B14" s="344" t="s">
        <v>12</v>
      </c>
      <c r="C14" s="344" t="s">
        <v>13</v>
      </c>
      <c r="D14" s="102" t="s">
        <v>14</v>
      </c>
      <c r="E14" s="102" t="s">
        <v>15</v>
      </c>
      <c r="F14" s="102" t="s">
        <v>16</v>
      </c>
      <c r="G14" s="102" t="s">
        <v>17</v>
      </c>
      <c r="H14" s="348" t="s">
        <v>18</v>
      </c>
      <c r="I14" s="243" t="s">
        <v>79</v>
      </c>
      <c r="J14" s="244" t="s">
        <v>80</v>
      </c>
      <c r="K14" s="244" t="s">
        <v>81</v>
      </c>
      <c r="L14" s="244" t="s">
        <v>82</v>
      </c>
      <c r="M14" s="244" t="s">
        <v>83</v>
      </c>
      <c r="N14" s="244" t="s">
        <v>84</v>
      </c>
      <c r="O14" s="244" t="s">
        <v>85</v>
      </c>
      <c r="P14" s="836" t="s">
        <v>86</v>
      </c>
      <c r="Q14" s="245" t="s">
        <v>87</v>
      </c>
      <c r="R14" s="246" t="s">
        <v>88</v>
      </c>
      <c r="S14" s="219" t="s">
        <v>89</v>
      </c>
      <c r="T14" s="546" t="s">
        <v>90</v>
      </c>
      <c r="U14" s="546" t="s">
        <v>91</v>
      </c>
      <c r="V14" s="546" t="s">
        <v>92</v>
      </c>
      <c r="W14" s="546" t="s">
        <v>89</v>
      </c>
      <c r="X14" s="546" t="s">
        <v>92</v>
      </c>
      <c r="Y14" s="546" t="s">
        <v>93</v>
      </c>
      <c r="Z14" s="220" t="s">
        <v>94</v>
      </c>
      <c r="AA14" s="219" t="s">
        <v>95</v>
      </c>
      <c r="AB14" s="546" t="s">
        <v>96</v>
      </c>
      <c r="AC14" s="546" t="s">
        <v>95</v>
      </c>
      <c r="AD14" s="546" t="s">
        <v>97</v>
      </c>
      <c r="AE14" s="546" t="s">
        <v>95</v>
      </c>
      <c r="AF14" s="546" t="s">
        <v>97</v>
      </c>
      <c r="AG14" s="819" t="s">
        <v>95</v>
      </c>
      <c r="AH14" s="819" t="s">
        <v>97</v>
      </c>
      <c r="AI14" s="546" t="s">
        <v>98</v>
      </c>
      <c r="AJ14" s="546" t="s">
        <v>99</v>
      </c>
      <c r="AK14" s="220" t="s">
        <v>100</v>
      </c>
      <c r="AL14" s="219" t="s">
        <v>101</v>
      </c>
      <c r="AM14" s="546" t="s">
        <v>102</v>
      </c>
      <c r="AN14" s="546" t="s">
        <v>101</v>
      </c>
      <c r="AO14" s="546" t="s">
        <v>102</v>
      </c>
      <c r="AP14" s="546" t="s">
        <v>103</v>
      </c>
      <c r="AQ14" s="546" t="s">
        <v>104</v>
      </c>
      <c r="AR14" s="546" t="s">
        <v>105</v>
      </c>
      <c r="AS14" s="220" t="s">
        <v>106</v>
      </c>
      <c r="AT14" s="222" t="s">
        <v>107</v>
      </c>
      <c r="AU14" s="223" t="s">
        <v>108</v>
      </c>
      <c r="AV14" s="223" t="s">
        <v>109</v>
      </c>
      <c r="AW14" s="223" t="s">
        <v>110</v>
      </c>
      <c r="AX14" s="223" t="s">
        <v>111</v>
      </c>
      <c r="AY14" s="223" t="s">
        <v>112</v>
      </c>
      <c r="AZ14" s="224" t="s">
        <v>113</v>
      </c>
      <c r="BA14" s="225" t="s">
        <v>114</v>
      </c>
      <c r="BB14" s="76" t="s">
        <v>115</v>
      </c>
      <c r="BC14" s="76" t="s">
        <v>116</v>
      </c>
      <c r="BD14" s="76" t="s">
        <v>117</v>
      </c>
      <c r="BE14" s="76" t="s">
        <v>118</v>
      </c>
      <c r="BF14" s="77" t="s">
        <v>119</v>
      </c>
      <c r="BG14" s="76" t="s">
        <v>120</v>
      </c>
      <c r="BH14" s="76" t="s">
        <v>121</v>
      </c>
      <c r="BI14" s="76" t="s">
        <v>122</v>
      </c>
      <c r="BJ14" s="76" t="s">
        <v>123</v>
      </c>
      <c r="BK14" s="549" t="s">
        <v>124</v>
      </c>
      <c r="BL14" s="77" t="s">
        <v>125</v>
      </c>
      <c r="BM14" s="77" t="s">
        <v>539</v>
      </c>
      <c r="BN14" s="77" t="s">
        <v>126</v>
      </c>
      <c r="BO14" s="90" t="s">
        <v>127</v>
      </c>
      <c r="BP14" s="542" t="s">
        <v>128</v>
      </c>
      <c r="BQ14" s="541" t="s">
        <v>129</v>
      </c>
      <c r="BR14" s="88" t="s">
        <v>130</v>
      </c>
      <c r="BS14" s="542" t="s">
        <v>131</v>
      </c>
      <c r="BT14" s="90" t="s">
        <v>132</v>
      </c>
      <c r="BU14" s="542" t="s">
        <v>133</v>
      </c>
      <c r="BV14" s="541" t="s">
        <v>134</v>
      </c>
      <c r="BW14" s="88" t="s">
        <v>135</v>
      </c>
      <c r="BX14" s="543" t="s">
        <v>136</v>
      </c>
      <c r="BY14" s="232" t="s">
        <v>137</v>
      </c>
      <c r="BZ14" s="541" t="s">
        <v>138</v>
      </c>
      <c r="CA14" s="88" t="s">
        <v>139</v>
      </c>
      <c r="CB14" s="543" t="s">
        <v>140</v>
      </c>
      <c r="CC14" s="89" t="s">
        <v>141</v>
      </c>
      <c r="CD14" s="544" t="s">
        <v>142</v>
      </c>
      <c r="CE14" s="233" t="s">
        <v>143</v>
      </c>
      <c r="CF14" s="545" t="s">
        <v>144</v>
      </c>
      <c r="CG14" s="90" t="s">
        <v>145</v>
      </c>
      <c r="CH14" s="542" t="s">
        <v>146</v>
      </c>
      <c r="CI14" s="542" t="s">
        <v>147</v>
      </c>
    </row>
    <row r="15" spans="1:87" ht="30" customHeight="1" thickBot="1" x14ac:dyDescent="0.35">
      <c r="A15" s="60" t="str">
        <f t="shared" ref="A15:A70" si="0">$E$1</f>
        <v>Unitil</v>
      </c>
      <c r="B15" s="66" t="s">
        <v>383</v>
      </c>
      <c r="C15" s="66" t="s">
        <v>383</v>
      </c>
      <c r="D15" s="58" t="s">
        <v>384</v>
      </c>
      <c r="E15" s="58" t="s">
        <v>385</v>
      </c>
      <c r="F15" s="58" t="s">
        <v>386</v>
      </c>
      <c r="G15" s="58" t="s">
        <v>385</v>
      </c>
      <c r="H15" s="10" t="s">
        <v>387</v>
      </c>
      <c r="I15" s="242" t="s">
        <v>453</v>
      </c>
      <c r="J15" s="104" t="s">
        <v>454</v>
      </c>
      <c r="K15" s="832">
        <v>9.5609204577802025</v>
      </c>
      <c r="L15" s="523">
        <v>6.45</v>
      </c>
      <c r="M15" s="58">
        <v>620</v>
      </c>
      <c r="N15" s="559">
        <v>7028608.7724844217</v>
      </c>
      <c r="O15" s="514" t="s">
        <v>455</v>
      </c>
      <c r="P15" s="524">
        <v>4.7</v>
      </c>
      <c r="Q15" s="608" t="s">
        <v>448</v>
      </c>
      <c r="R15" s="525" t="s">
        <v>449</v>
      </c>
      <c r="S15" s="18">
        <v>7</v>
      </c>
      <c r="T15" s="16">
        <f>S15</f>
        <v>7</v>
      </c>
      <c r="U15" s="128">
        <v>0</v>
      </c>
      <c r="V15" s="16">
        <f>U15</f>
        <v>0</v>
      </c>
      <c r="W15" s="128">
        <v>0</v>
      </c>
      <c r="X15" s="16">
        <f>W15</f>
        <v>0</v>
      </c>
      <c r="Y15" s="128">
        <v>0</v>
      </c>
      <c r="Z15" s="16">
        <f>Y15</f>
        <v>0</v>
      </c>
      <c r="AA15" s="561">
        <v>461</v>
      </c>
      <c r="AB15" s="562"/>
      <c r="AC15" s="563">
        <v>0</v>
      </c>
      <c r="AD15" s="562"/>
      <c r="AE15" s="563">
        <v>0</v>
      </c>
      <c r="AF15" s="562"/>
      <c r="AG15" s="562">
        <v>0</v>
      </c>
      <c r="AH15" s="562"/>
      <c r="AI15" s="563"/>
      <c r="AJ15" s="562"/>
      <c r="AK15" s="564"/>
      <c r="AL15" s="565"/>
      <c r="AM15" s="566"/>
      <c r="AN15" s="565"/>
      <c r="AO15" s="565"/>
      <c r="AP15" s="565"/>
      <c r="AQ15" s="565"/>
      <c r="AR15" s="565"/>
      <c r="AS15" s="565"/>
      <c r="AT15" s="226"/>
      <c r="AU15" s="227"/>
      <c r="AV15" s="227"/>
      <c r="AW15" s="227"/>
      <c r="AX15" s="227"/>
      <c r="AY15" s="227"/>
      <c r="AZ15" s="227"/>
      <c r="BA15" s="228"/>
      <c r="BB15" s="846">
        <f>N15</f>
        <v>7028608.7724844217</v>
      </c>
      <c r="BC15" s="84" t="s">
        <v>383</v>
      </c>
      <c r="BD15" s="638">
        <f>P15</f>
        <v>4.7</v>
      </c>
      <c r="BE15" s="84" t="s">
        <v>383</v>
      </c>
      <c r="BF15" s="639">
        <f>(((92178/SUM(P$15:P$70))*P15)/92178)*21417</f>
        <v>914.00150729585675</v>
      </c>
      <c r="BG15" s="84" t="s">
        <v>383</v>
      </c>
      <c r="BH15" s="105">
        <v>0.95</v>
      </c>
      <c r="BI15" s="84" t="s">
        <v>383</v>
      </c>
      <c r="BJ15" s="640">
        <f>BB15/1000*0.1869</f>
        <v>1313.6469795773385</v>
      </c>
      <c r="BK15" s="84" t="s">
        <v>383</v>
      </c>
      <c r="BL15" s="58">
        <v>0</v>
      </c>
      <c r="BM15" s="860">
        <v>0.33333333333333326</v>
      </c>
      <c r="BN15" s="860">
        <f>BM15-BL15</f>
        <v>0.33333333333333326</v>
      </c>
      <c r="BO15" s="511" t="s">
        <v>387</v>
      </c>
      <c r="BP15" s="513">
        <f>IF(BO15="Y",M15,IF(BO15="N",0))</f>
        <v>0</v>
      </c>
      <c r="BQ15" s="511"/>
      <c r="BR15" s="512"/>
      <c r="BS15" s="513"/>
      <c r="BT15" s="107"/>
      <c r="BU15" s="108"/>
      <c r="BV15" s="798">
        <v>1380.05</v>
      </c>
      <c r="BW15" s="804">
        <f>'9. Pre-Investment Baselines'!AW9-BV15</f>
        <v>-1222.8667</v>
      </c>
      <c r="BX15" s="811">
        <v>0.31</v>
      </c>
      <c r="BY15" s="803">
        <f>'9. Pre-Investment Baselines'!AX9-BX15</f>
        <v>44.746669999999995</v>
      </c>
      <c r="BZ15" s="801">
        <v>1.2450000000000001</v>
      </c>
      <c r="CA15" s="806">
        <f>'9. Pre-Investment Baselines'!AY9-BZ15</f>
        <v>0.49633329999999987</v>
      </c>
      <c r="CB15" s="490">
        <v>6.0000000000000001E-3</v>
      </c>
      <c r="CC15" s="808">
        <f>'9. Pre-Investment Baselines'!AZ9-CB15</f>
        <v>0.30333329999999997</v>
      </c>
      <c r="CD15" s="237"/>
      <c r="CE15" s="234"/>
      <c r="CF15" s="235"/>
      <c r="CG15" s="94"/>
      <c r="CH15" s="95"/>
      <c r="CI15" s="52"/>
    </row>
    <row r="16" spans="1:87" ht="30" customHeight="1" thickBot="1" x14ac:dyDescent="0.35">
      <c r="A16" s="60" t="str">
        <f t="shared" si="0"/>
        <v>Unitil</v>
      </c>
      <c r="B16" s="66" t="s">
        <v>383</v>
      </c>
      <c r="C16" s="66" t="s">
        <v>383</v>
      </c>
      <c r="D16" s="58" t="s">
        <v>384</v>
      </c>
      <c r="E16" s="58" t="s">
        <v>385</v>
      </c>
      <c r="F16" s="58" t="s">
        <v>388</v>
      </c>
      <c r="G16" s="58" t="s">
        <v>385</v>
      </c>
      <c r="H16" s="10" t="s">
        <v>387</v>
      </c>
      <c r="I16" s="14" t="s">
        <v>453</v>
      </c>
      <c r="J16" s="128" t="s">
        <v>454</v>
      </c>
      <c r="K16" s="833">
        <v>9.5609204577802025</v>
      </c>
      <c r="L16" s="526">
        <v>9.4202588561799203</v>
      </c>
      <c r="M16" s="58">
        <v>1995</v>
      </c>
      <c r="N16" s="559">
        <v>3598085.3352612942</v>
      </c>
      <c r="O16" s="527" t="s">
        <v>455</v>
      </c>
      <c r="P16" s="524">
        <v>2.645</v>
      </c>
      <c r="Q16" s="608" t="s">
        <v>448</v>
      </c>
      <c r="R16" s="525" t="s">
        <v>449</v>
      </c>
      <c r="S16" s="18">
        <v>133</v>
      </c>
      <c r="T16" s="16">
        <f t="shared" ref="T16:V18" si="1">S16</f>
        <v>133</v>
      </c>
      <c r="U16" s="128">
        <v>1</v>
      </c>
      <c r="V16" s="16">
        <f t="shared" si="1"/>
        <v>1</v>
      </c>
      <c r="W16" s="128"/>
      <c r="X16" s="16">
        <f t="shared" ref="X16" si="2">W16</f>
        <v>0</v>
      </c>
      <c r="Y16" s="128"/>
      <c r="Z16" s="16">
        <f t="shared" ref="Z16" si="3">Y16</f>
        <v>0</v>
      </c>
      <c r="AA16" s="561">
        <v>958</v>
      </c>
      <c r="AB16" s="562"/>
      <c r="AC16" s="563">
        <v>1.2</v>
      </c>
      <c r="AD16" s="562"/>
      <c r="AE16" s="563">
        <v>0</v>
      </c>
      <c r="AF16" s="562"/>
      <c r="AG16" s="562">
        <v>0</v>
      </c>
      <c r="AH16" s="562"/>
      <c r="AI16" s="563"/>
      <c r="AJ16" s="562"/>
      <c r="AK16" s="564"/>
      <c r="AL16" s="565"/>
      <c r="AM16" s="566"/>
      <c r="AN16" s="565"/>
      <c r="AO16" s="565"/>
      <c r="AP16" s="565"/>
      <c r="AQ16" s="565"/>
      <c r="AR16" s="565"/>
      <c r="AS16" s="565"/>
      <c r="AT16" s="492"/>
      <c r="AU16" s="493"/>
      <c r="AV16" s="493"/>
      <c r="AW16" s="493"/>
      <c r="AX16" s="493"/>
      <c r="AY16" s="493"/>
      <c r="AZ16" s="493"/>
      <c r="BA16" s="494"/>
      <c r="BB16" s="846">
        <f t="shared" ref="BB16:BB70" si="4">N16</f>
        <v>3598085.3352612942</v>
      </c>
      <c r="BC16" s="84" t="s">
        <v>383</v>
      </c>
      <c r="BD16" s="638">
        <f t="shared" ref="BD16:BD71" si="5">P16</f>
        <v>2.645</v>
      </c>
      <c r="BE16" s="84" t="s">
        <v>383</v>
      </c>
      <c r="BF16" s="639">
        <f t="shared" ref="BF16:BF71" si="6">(((92178/SUM(P$15:P$70))*P16)/92178)*21417</f>
        <v>514.36893336117896</v>
      </c>
      <c r="BG16" s="84" t="s">
        <v>383</v>
      </c>
      <c r="BH16" s="105">
        <v>0.95</v>
      </c>
      <c r="BI16" s="84" t="s">
        <v>383</v>
      </c>
      <c r="BJ16" s="640">
        <f t="shared" ref="BJ16:BJ71" si="7">BB16/1000*0.1869</f>
        <v>672.48214916033589</v>
      </c>
      <c r="BK16" s="84" t="s">
        <v>383</v>
      </c>
      <c r="BL16" s="58">
        <v>1</v>
      </c>
      <c r="BM16" s="860">
        <v>1</v>
      </c>
      <c r="BN16" s="860">
        <f t="shared" ref="BN16:BN70" si="8">BM16-BL16</f>
        <v>0</v>
      </c>
      <c r="BO16" s="511" t="s">
        <v>387</v>
      </c>
      <c r="BP16" s="513">
        <f t="shared" ref="BP16:BP18" si="9">IF(BO16="Y",M16,IF(BO16="N",0))</f>
        <v>0</v>
      </c>
      <c r="BQ16" s="511"/>
      <c r="BR16" s="514"/>
      <c r="BS16" s="513"/>
      <c r="BT16" s="107"/>
      <c r="BU16" s="108"/>
      <c r="BV16" s="798">
        <v>177.54</v>
      </c>
      <c r="BW16" s="804">
        <f>'9. Pre-Investment Baselines'!AW10-BV16</f>
        <v>-10.026700000000005</v>
      </c>
      <c r="BX16" s="811">
        <v>6.23</v>
      </c>
      <c r="BY16" s="803">
        <f>'9. Pre-Investment Baselines'!AX10-BX16</f>
        <v>36.409999999999997</v>
      </c>
      <c r="BZ16" s="801">
        <v>0.42799999999999999</v>
      </c>
      <c r="CA16" s="806">
        <f>'9. Pre-Investment Baselines'!AY10-BZ16</f>
        <v>1.9910000000000001</v>
      </c>
      <c r="CB16" s="490">
        <v>0.17100000000000001</v>
      </c>
      <c r="CC16" s="808">
        <f>'9. Pre-Investment Baselines'!AZ10-CB16</f>
        <v>0.91500000000000004</v>
      </c>
      <c r="CD16" s="257"/>
      <c r="CE16" s="94"/>
      <c r="CF16" s="495"/>
      <c r="CG16" s="94"/>
      <c r="CH16" s="95"/>
      <c r="CI16" s="52"/>
    </row>
    <row r="17" spans="1:87" ht="30" customHeight="1" thickBot="1" x14ac:dyDescent="0.35">
      <c r="A17" s="60" t="str">
        <f t="shared" si="0"/>
        <v>Unitil</v>
      </c>
      <c r="B17" s="66" t="s">
        <v>383</v>
      </c>
      <c r="C17" s="66" t="s">
        <v>383</v>
      </c>
      <c r="D17" s="58" t="s">
        <v>384</v>
      </c>
      <c r="E17" s="58" t="s">
        <v>385</v>
      </c>
      <c r="F17" s="58" t="s">
        <v>389</v>
      </c>
      <c r="G17" s="58" t="s">
        <v>385</v>
      </c>
      <c r="H17" s="10" t="s">
        <v>387</v>
      </c>
      <c r="I17" s="14" t="s">
        <v>453</v>
      </c>
      <c r="J17" s="128" t="s">
        <v>454</v>
      </c>
      <c r="K17" s="833">
        <v>9.5609204577802025</v>
      </c>
      <c r="L17" s="526">
        <v>8.9421155028409078</v>
      </c>
      <c r="M17" s="58">
        <v>1660</v>
      </c>
      <c r="N17" s="559">
        <v>3367079.3901749309</v>
      </c>
      <c r="O17" s="527" t="s">
        <v>455</v>
      </c>
      <c r="P17" s="524">
        <v>3.2269999999999999</v>
      </c>
      <c r="Q17" s="608" t="s">
        <v>448</v>
      </c>
      <c r="R17" s="525" t="s">
        <v>449</v>
      </c>
      <c r="S17" s="18">
        <v>124</v>
      </c>
      <c r="T17" s="16">
        <f t="shared" si="1"/>
        <v>124</v>
      </c>
      <c r="U17" s="128">
        <v>0</v>
      </c>
      <c r="V17" s="16">
        <f t="shared" si="1"/>
        <v>0</v>
      </c>
      <c r="W17" s="128">
        <v>2</v>
      </c>
      <c r="X17" s="16">
        <f t="shared" ref="X17" si="10">W17</f>
        <v>2</v>
      </c>
      <c r="Y17" s="128"/>
      <c r="Z17" s="16">
        <f t="shared" ref="Z17" si="11">Y17</f>
        <v>0</v>
      </c>
      <c r="AA17" s="561">
        <v>1179</v>
      </c>
      <c r="AB17" s="562"/>
      <c r="AC17" s="563">
        <v>0</v>
      </c>
      <c r="AD17" s="562"/>
      <c r="AE17" s="563">
        <v>15.2</v>
      </c>
      <c r="AF17" s="562"/>
      <c r="AG17" s="562">
        <v>0</v>
      </c>
      <c r="AH17" s="562"/>
      <c r="AI17" s="563"/>
      <c r="AJ17" s="562"/>
      <c r="AK17" s="564"/>
      <c r="AL17" s="565"/>
      <c r="AM17" s="566"/>
      <c r="AN17" s="565"/>
      <c r="AO17" s="565"/>
      <c r="AP17" s="565"/>
      <c r="AQ17" s="565"/>
      <c r="AR17" s="565"/>
      <c r="AS17" s="565"/>
      <c r="AT17" s="492"/>
      <c r="AU17" s="493"/>
      <c r="AV17" s="493"/>
      <c r="AW17" s="493"/>
      <c r="AX17" s="493"/>
      <c r="AY17" s="493"/>
      <c r="AZ17" s="493"/>
      <c r="BA17" s="494"/>
      <c r="BB17" s="846">
        <f t="shared" si="4"/>
        <v>3367079.3901749309</v>
      </c>
      <c r="BC17" s="84" t="s">
        <v>383</v>
      </c>
      <c r="BD17" s="638">
        <f t="shared" si="5"/>
        <v>3.2269999999999999</v>
      </c>
      <c r="BE17" s="84" t="s">
        <v>383</v>
      </c>
      <c r="BF17" s="639">
        <f t="shared" si="6"/>
        <v>627.549545541219</v>
      </c>
      <c r="BG17" s="84" t="s">
        <v>383</v>
      </c>
      <c r="BH17" s="105">
        <v>0.95</v>
      </c>
      <c r="BI17" s="84" t="s">
        <v>383</v>
      </c>
      <c r="BJ17" s="640">
        <f t="shared" si="7"/>
        <v>629.30713802369462</v>
      </c>
      <c r="BK17" s="84" t="s">
        <v>383</v>
      </c>
      <c r="BL17" s="58">
        <v>0</v>
      </c>
      <c r="BM17" s="860">
        <v>1.3333333333333333</v>
      </c>
      <c r="BN17" s="860">
        <f t="shared" si="8"/>
        <v>1.3333333333333333</v>
      </c>
      <c r="BO17" s="511" t="s">
        <v>387</v>
      </c>
      <c r="BP17" s="513">
        <f t="shared" si="9"/>
        <v>0</v>
      </c>
      <c r="BQ17" s="511"/>
      <c r="BR17" s="514"/>
      <c r="BS17" s="513"/>
      <c r="BT17" s="107"/>
      <c r="BU17" s="108"/>
      <c r="BV17" s="798">
        <v>93.48</v>
      </c>
      <c r="BW17" s="804">
        <f>'9. Pre-Investment Baselines'!AW11-BV17</f>
        <v>69.436699999999988</v>
      </c>
      <c r="BX17" s="811">
        <v>1.65</v>
      </c>
      <c r="BY17" s="803">
        <f>'9. Pre-Investment Baselines'!AX11-BX17</f>
        <v>60.373330000000003</v>
      </c>
      <c r="BZ17" s="801">
        <v>7.2999999999999995E-2</v>
      </c>
      <c r="CA17" s="806">
        <f>'9. Pre-Investment Baselines'!AY11-BZ17</f>
        <v>2.4123333000000002</v>
      </c>
      <c r="CB17" s="490">
        <v>4.2999999999999997E-2</v>
      </c>
      <c r="CC17" s="808">
        <f>'9. Pre-Investment Baselines'!AZ11-CB17</f>
        <v>1.3203333000000002</v>
      </c>
      <c r="CD17" s="257"/>
      <c r="CE17" s="94"/>
      <c r="CF17" s="495"/>
      <c r="CG17" s="94"/>
      <c r="CH17" s="95"/>
      <c r="CI17" s="52"/>
    </row>
    <row r="18" spans="1:87" ht="30" customHeight="1" x14ac:dyDescent="0.3">
      <c r="A18" s="60" t="str">
        <f t="shared" si="0"/>
        <v>Unitil</v>
      </c>
      <c r="B18" s="66" t="s">
        <v>383</v>
      </c>
      <c r="C18" s="66" t="s">
        <v>383</v>
      </c>
      <c r="D18" s="58" t="s">
        <v>384</v>
      </c>
      <c r="E18" s="58" t="s">
        <v>385</v>
      </c>
      <c r="F18" s="58" t="s">
        <v>390</v>
      </c>
      <c r="G18" s="58" t="s">
        <v>385</v>
      </c>
      <c r="H18" s="10" t="s">
        <v>387</v>
      </c>
      <c r="I18" s="14" t="s">
        <v>453</v>
      </c>
      <c r="J18" s="128" t="s">
        <v>454</v>
      </c>
      <c r="K18" s="833">
        <v>9.5609204577802025</v>
      </c>
      <c r="L18" s="526">
        <v>0.82799999999999996</v>
      </c>
      <c r="M18" s="58">
        <v>1</v>
      </c>
      <c r="N18" s="559">
        <v>3343730.7145630065</v>
      </c>
      <c r="O18" s="527" t="s">
        <v>455</v>
      </c>
      <c r="P18" s="524">
        <v>2.1190000000000002</v>
      </c>
      <c r="Q18" s="608" t="s">
        <v>448</v>
      </c>
      <c r="R18" s="525" t="s">
        <v>449</v>
      </c>
      <c r="S18" s="18">
        <v>0</v>
      </c>
      <c r="T18" s="16">
        <f t="shared" si="1"/>
        <v>0</v>
      </c>
      <c r="U18" s="128">
        <v>0</v>
      </c>
      <c r="V18" s="16">
        <f t="shared" si="1"/>
        <v>0</v>
      </c>
      <c r="W18" s="128">
        <v>0</v>
      </c>
      <c r="X18" s="16">
        <f t="shared" ref="X18" si="12">W18</f>
        <v>0</v>
      </c>
      <c r="Y18" s="128">
        <v>0</v>
      </c>
      <c r="Z18" s="16">
        <f t="shared" ref="Z18" si="13">Y18</f>
        <v>0</v>
      </c>
      <c r="AA18" s="561">
        <f>IF(S18=0,0)</f>
        <v>0</v>
      </c>
      <c r="AB18" s="562"/>
      <c r="AC18" s="561">
        <f>IF(U18=0,0)</f>
        <v>0</v>
      </c>
      <c r="AD18" s="562"/>
      <c r="AE18" s="561">
        <f>IF(W18=0,0)</f>
        <v>0</v>
      </c>
      <c r="AF18" s="562"/>
      <c r="AG18" s="561">
        <f>IF(Y18=0,0)</f>
        <v>0</v>
      </c>
      <c r="AH18" s="562"/>
      <c r="AI18" s="563"/>
      <c r="AJ18" s="562"/>
      <c r="AK18" s="564"/>
      <c r="AL18" s="565"/>
      <c r="AM18" s="566"/>
      <c r="AN18" s="565"/>
      <c r="AO18" s="565"/>
      <c r="AP18" s="565"/>
      <c r="AQ18" s="565"/>
      <c r="AR18" s="565"/>
      <c r="AS18" s="565"/>
      <c r="AT18" s="492"/>
      <c r="AU18" s="493"/>
      <c r="AV18" s="493"/>
      <c r="AW18" s="493"/>
      <c r="AX18" s="493"/>
      <c r="AY18" s="493"/>
      <c r="AZ18" s="493"/>
      <c r="BA18" s="494"/>
      <c r="BB18" s="846">
        <f t="shared" si="4"/>
        <v>3343730.7145630065</v>
      </c>
      <c r="BC18" s="84" t="s">
        <v>383</v>
      </c>
      <c r="BD18" s="638">
        <f t="shared" si="5"/>
        <v>2.1190000000000002</v>
      </c>
      <c r="BE18" s="84" t="s">
        <v>383</v>
      </c>
      <c r="BF18" s="639">
        <f t="shared" si="6"/>
        <v>412.0785519063661</v>
      </c>
      <c r="BG18" s="84" t="s">
        <v>383</v>
      </c>
      <c r="BH18" s="105">
        <v>0.95</v>
      </c>
      <c r="BI18" s="84" t="s">
        <v>383</v>
      </c>
      <c r="BJ18" s="640">
        <f t="shared" si="7"/>
        <v>624.943270551826</v>
      </c>
      <c r="BK18" s="84" t="s">
        <v>383</v>
      </c>
      <c r="BL18" s="58">
        <v>0</v>
      </c>
      <c r="BM18" s="860">
        <v>0</v>
      </c>
      <c r="BN18" s="860">
        <f t="shared" si="8"/>
        <v>0</v>
      </c>
      <c r="BO18" s="511" t="s">
        <v>387</v>
      </c>
      <c r="BP18" s="513">
        <f t="shared" si="9"/>
        <v>0</v>
      </c>
      <c r="BQ18" s="511"/>
      <c r="BR18" s="514"/>
      <c r="BS18" s="513"/>
      <c r="BT18" s="107"/>
      <c r="BU18" s="108"/>
      <c r="BV18" s="798">
        <v>0</v>
      </c>
      <c r="BW18" s="804" t="str">
        <f>'9. Pre-Investment Baselines'!AW12</f>
        <v>N/A</v>
      </c>
      <c r="BX18" s="811">
        <v>0</v>
      </c>
      <c r="BY18" s="803" t="str">
        <f>'9. Pre-Investment Baselines'!AX12</f>
        <v>N/A</v>
      </c>
      <c r="BZ18" s="801">
        <v>0</v>
      </c>
      <c r="CA18" s="490" t="str">
        <f>'9. Pre-Investment Baselines'!AY12</f>
        <v>N/A</v>
      </c>
      <c r="CB18" s="490">
        <v>0</v>
      </c>
      <c r="CC18" s="808" t="str">
        <f>'9. Pre-Investment Baselines'!AZ12</f>
        <v>N/A</v>
      </c>
      <c r="CD18" s="257"/>
      <c r="CE18" s="94"/>
      <c r="CF18" s="495"/>
      <c r="CG18" s="94"/>
      <c r="CH18" s="95"/>
      <c r="CI18" s="52"/>
    </row>
    <row r="19" spans="1:87" ht="30" customHeight="1" thickBot="1" x14ac:dyDescent="0.35">
      <c r="A19" s="60" t="str">
        <f>$E$1</f>
        <v>Unitil</v>
      </c>
      <c r="B19" s="66" t="s">
        <v>383</v>
      </c>
      <c r="C19" s="66" t="s">
        <v>383</v>
      </c>
      <c r="D19" s="58" t="s">
        <v>384</v>
      </c>
      <c r="E19" s="58" t="s">
        <v>385</v>
      </c>
      <c r="F19" s="496"/>
      <c r="G19" s="496"/>
      <c r="H19" s="497"/>
      <c r="I19" s="529"/>
      <c r="J19" s="496"/>
      <c r="K19" s="834" t="s">
        <v>456</v>
      </c>
      <c r="L19" s="496"/>
      <c r="M19" s="496"/>
      <c r="N19" s="567"/>
      <c r="O19" s="530"/>
      <c r="P19" s="568"/>
      <c r="Q19" s="510"/>
      <c r="R19" s="531"/>
      <c r="S19" s="569"/>
      <c r="T19" s="569"/>
      <c r="U19" s="569"/>
      <c r="V19" s="569"/>
      <c r="W19" s="569"/>
      <c r="X19" s="569"/>
      <c r="Y19" s="569"/>
      <c r="Z19" s="569"/>
      <c r="AA19" s="569"/>
      <c r="AB19" s="569"/>
      <c r="AC19" s="569"/>
      <c r="AD19" s="569"/>
      <c r="AE19" s="569"/>
      <c r="AF19" s="569"/>
      <c r="AG19" s="569"/>
      <c r="AH19" s="569"/>
      <c r="AI19" s="569"/>
      <c r="AJ19" s="569"/>
      <c r="AK19" s="569"/>
      <c r="AL19" s="569"/>
      <c r="AM19" s="497"/>
      <c r="AN19" s="569"/>
      <c r="AO19" s="497"/>
      <c r="AP19" s="569"/>
      <c r="AQ19" s="497"/>
      <c r="AR19" s="569"/>
      <c r="AS19" s="497"/>
      <c r="AT19" s="492"/>
      <c r="AU19" s="493"/>
      <c r="AV19" s="493"/>
      <c r="AW19" s="493"/>
      <c r="AX19" s="493"/>
      <c r="AY19" s="493"/>
      <c r="AZ19" s="493"/>
      <c r="BA19" s="494"/>
      <c r="BB19" s="846"/>
      <c r="BC19" s="84" t="s">
        <v>383</v>
      </c>
      <c r="BD19" s="638">
        <f t="shared" si="5"/>
        <v>0</v>
      </c>
      <c r="BE19" s="84" t="s">
        <v>383</v>
      </c>
      <c r="BF19" s="639">
        <f t="shared" si="6"/>
        <v>0</v>
      </c>
      <c r="BG19" s="84" t="s">
        <v>383</v>
      </c>
      <c r="BH19" s="105"/>
      <c r="BI19" s="84" t="s">
        <v>383</v>
      </c>
      <c r="BJ19" s="640">
        <f t="shared" si="7"/>
        <v>0</v>
      </c>
      <c r="BK19" s="84" t="s">
        <v>383</v>
      </c>
      <c r="BL19" s="496"/>
      <c r="BM19" s="861"/>
      <c r="BN19" s="861"/>
      <c r="BO19" s="515"/>
      <c r="BP19" s="517"/>
      <c r="BQ19" s="515"/>
      <c r="BR19" s="516"/>
      <c r="BS19" s="517"/>
      <c r="BT19" s="107"/>
      <c r="BU19" s="108"/>
      <c r="BV19" s="798"/>
      <c r="BW19" s="489"/>
      <c r="BX19" s="811"/>
      <c r="BY19" s="803"/>
      <c r="BZ19" s="801"/>
      <c r="CA19" s="490"/>
      <c r="CB19" s="490"/>
      <c r="CC19" s="808"/>
      <c r="CD19" s="257"/>
      <c r="CE19" s="94"/>
      <c r="CF19" s="495"/>
      <c r="CG19" s="94"/>
      <c r="CH19" s="95"/>
      <c r="CI19" s="52"/>
    </row>
    <row r="20" spans="1:87" ht="30" customHeight="1" thickBot="1" x14ac:dyDescent="0.35">
      <c r="A20" s="60" t="str">
        <f t="shared" si="0"/>
        <v>Unitil</v>
      </c>
      <c r="B20" s="66" t="s">
        <v>383</v>
      </c>
      <c r="C20" s="66" t="s">
        <v>383</v>
      </c>
      <c r="D20" s="58" t="s">
        <v>391</v>
      </c>
      <c r="E20" s="58" t="s">
        <v>385</v>
      </c>
      <c r="F20" s="58" t="s">
        <v>392</v>
      </c>
      <c r="G20" s="58" t="s">
        <v>385</v>
      </c>
      <c r="H20" s="10" t="s">
        <v>387</v>
      </c>
      <c r="I20" s="14" t="s">
        <v>453</v>
      </c>
      <c r="J20" s="128" t="s">
        <v>457</v>
      </c>
      <c r="K20" s="833">
        <v>2.0174927806562279</v>
      </c>
      <c r="L20" s="526">
        <v>3.870559593577652</v>
      </c>
      <c r="M20" s="58">
        <v>756</v>
      </c>
      <c r="N20" s="844">
        <v>1360825.1652791784</v>
      </c>
      <c r="O20" s="527" t="s">
        <v>455</v>
      </c>
      <c r="P20" s="524">
        <v>0.98499999999999999</v>
      </c>
      <c r="Q20" s="608" t="s">
        <v>449</v>
      </c>
      <c r="R20" s="525" t="s">
        <v>449</v>
      </c>
      <c r="S20" s="18">
        <v>72</v>
      </c>
      <c r="T20" s="16">
        <f t="shared" ref="T20:V22" si="14">S20</f>
        <v>72</v>
      </c>
      <c r="U20" s="128">
        <v>0</v>
      </c>
      <c r="V20" s="16">
        <f t="shared" si="14"/>
        <v>0</v>
      </c>
      <c r="W20" s="128">
        <v>0</v>
      </c>
      <c r="X20" s="16">
        <f t="shared" ref="X20" si="15">W20</f>
        <v>0</v>
      </c>
      <c r="Y20" s="128">
        <v>0</v>
      </c>
      <c r="Z20" s="16">
        <f t="shared" ref="Z20" si="16">Y20</f>
        <v>0</v>
      </c>
      <c r="AA20" s="561">
        <v>463</v>
      </c>
      <c r="AB20" s="562"/>
      <c r="AC20" s="561">
        <f t="shared" ref="AC20:AC22" si="17">IF(U20=0,0)</f>
        <v>0</v>
      </c>
      <c r="AD20" s="562"/>
      <c r="AE20" s="561">
        <f t="shared" ref="AE20:AE22" si="18">IF(W20=0,0)</f>
        <v>0</v>
      </c>
      <c r="AF20" s="562"/>
      <c r="AG20" s="561">
        <f t="shared" ref="AG20:AG22" si="19">IF(Y20=0,0)</f>
        <v>0</v>
      </c>
      <c r="AH20" s="562"/>
      <c r="AI20" s="563"/>
      <c r="AJ20" s="562"/>
      <c r="AK20" s="564"/>
      <c r="AL20" s="565"/>
      <c r="AM20" s="566"/>
      <c r="AN20" s="565"/>
      <c r="AO20" s="565"/>
      <c r="AP20" s="565"/>
      <c r="AQ20" s="565"/>
      <c r="AR20" s="565"/>
      <c r="AS20" s="565"/>
      <c r="AT20" s="492"/>
      <c r="AU20" s="493"/>
      <c r="AV20" s="493"/>
      <c r="AW20" s="493"/>
      <c r="AX20" s="493"/>
      <c r="AY20" s="493"/>
      <c r="AZ20" s="493"/>
      <c r="BA20" s="494"/>
      <c r="BB20" s="846">
        <f t="shared" si="4"/>
        <v>1360825.1652791784</v>
      </c>
      <c r="BC20" s="84" t="s">
        <v>383</v>
      </c>
      <c r="BD20" s="638">
        <f t="shared" si="5"/>
        <v>0.98499999999999999</v>
      </c>
      <c r="BE20" s="84" t="s">
        <v>383</v>
      </c>
      <c r="BF20" s="639">
        <f t="shared" si="6"/>
        <v>191.55137972051466</v>
      </c>
      <c r="BG20" s="84" t="s">
        <v>383</v>
      </c>
      <c r="BH20" s="105">
        <v>0.95</v>
      </c>
      <c r="BI20" s="84" t="s">
        <v>383</v>
      </c>
      <c r="BJ20" s="640">
        <f t="shared" si="7"/>
        <v>254.33822339067848</v>
      </c>
      <c r="BK20" s="84" t="s">
        <v>383</v>
      </c>
      <c r="BL20" s="58">
        <v>0</v>
      </c>
      <c r="BM20" s="860">
        <v>0</v>
      </c>
      <c r="BN20" s="860">
        <f t="shared" si="8"/>
        <v>0</v>
      </c>
      <c r="BO20" s="511" t="s">
        <v>387</v>
      </c>
      <c r="BP20" s="513">
        <f t="shared" ref="BP20:BP22" si="20">IF(BO20="Y",M20,IF(BO20="N",0))</f>
        <v>0</v>
      </c>
      <c r="BQ20" s="511"/>
      <c r="BR20" s="514"/>
      <c r="BS20" s="513"/>
      <c r="BT20" s="107"/>
      <c r="BU20" s="108"/>
      <c r="BV20" s="798">
        <v>749.15</v>
      </c>
      <c r="BW20" s="804">
        <f>'9. Pre-Investment Baselines'!AW14-BV20</f>
        <v>-615.81330000000003</v>
      </c>
      <c r="BX20" s="811">
        <v>0.74</v>
      </c>
      <c r="BY20" s="803">
        <f>'9. Pre-Investment Baselines'!AX14-BX20</f>
        <v>50.85333</v>
      </c>
      <c r="BZ20" s="801">
        <v>1.478</v>
      </c>
      <c r="CA20" s="806">
        <f>'9. Pre-Investment Baselines'!AY14-BZ20</f>
        <v>0.81200000000000006</v>
      </c>
      <c r="CB20" s="490">
        <v>1.9E-2</v>
      </c>
      <c r="CC20" s="808">
        <f>'9. Pre-Investment Baselines'!AZ14-CB20</f>
        <v>1.1246667000000001</v>
      </c>
      <c r="CD20" s="257"/>
      <c r="CE20" s="94"/>
      <c r="CF20" s="495"/>
      <c r="CG20" s="94"/>
      <c r="CH20" s="95"/>
      <c r="CI20" s="52"/>
    </row>
    <row r="21" spans="1:87" ht="30" customHeight="1" thickBot="1" x14ac:dyDescent="0.35">
      <c r="A21" s="60" t="str">
        <f t="shared" si="0"/>
        <v>Unitil</v>
      </c>
      <c r="B21" s="66" t="s">
        <v>383</v>
      </c>
      <c r="C21" s="66" t="s">
        <v>383</v>
      </c>
      <c r="D21" s="58" t="s">
        <v>391</v>
      </c>
      <c r="E21" s="58" t="s">
        <v>385</v>
      </c>
      <c r="F21" s="58" t="s">
        <v>393</v>
      </c>
      <c r="G21" s="58" t="s">
        <v>385</v>
      </c>
      <c r="H21" s="10" t="s">
        <v>387</v>
      </c>
      <c r="I21" s="14" t="s">
        <v>453</v>
      </c>
      <c r="J21" s="128" t="s">
        <v>457</v>
      </c>
      <c r="K21" s="833">
        <v>2.0174927806562279</v>
      </c>
      <c r="L21" s="526">
        <v>2.74</v>
      </c>
      <c r="M21" s="58">
        <v>374</v>
      </c>
      <c r="N21" s="844">
        <v>1380262.4190584444</v>
      </c>
      <c r="O21" s="527" t="s">
        <v>455</v>
      </c>
      <c r="P21" s="524">
        <v>0.96599999999999997</v>
      </c>
      <c r="Q21" s="608" t="s">
        <v>449</v>
      </c>
      <c r="R21" s="525" t="s">
        <v>449</v>
      </c>
      <c r="S21" s="18">
        <v>31</v>
      </c>
      <c r="T21" s="16">
        <f t="shared" si="14"/>
        <v>31</v>
      </c>
      <c r="U21" s="128">
        <v>0</v>
      </c>
      <c r="V21" s="16">
        <f t="shared" si="14"/>
        <v>0</v>
      </c>
      <c r="W21" s="128">
        <v>0</v>
      </c>
      <c r="X21" s="16">
        <f t="shared" ref="X21" si="21">W21</f>
        <v>0</v>
      </c>
      <c r="Y21" s="128">
        <v>0</v>
      </c>
      <c r="Z21" s="16">
        <f t="shared" ref="Z21" si="22">Y21</f>
        <v>0</v>
      </c>
      <c r="AA21" s="561">
        <v>192</v>
      </c>
      <c r="AB21" s="562"/>
      <c r="AC21" s="561">
        <f t="shared" si="17"/>
        <v>0</v>
      </c>
      <c r="AD21" s="562"/>
      <c r="AE21" s="561">
        <f t="shared" si="18"/>
        <v>0</v>
      </c>
      <c r="AF21" s="562"/>
      <c r="AG21" s="561">
        <f t="shared" si="19"/>
        <v>0</v>
      </c>
      <c r="AH21" s="562"/>
      <c r="AI21" s="563"/>
      <c r="AJ21" s="562"/>
      <c r="AK21" s="564"/>
      <c r="AL21" s="565"/>
      <c r="AM21" s="566"/>
      <c r="AN21" s="565"/>
      <c r="AO21" s="565"/>
      <c r="AP21" s="565"/>
      <c r="AQ21" s="565"/>
      <c r="AR21" s="565"/>
      <c r="AS21" s="565"/>
      <c r="AT21" s="492"/>
      <c r="AU21" s="493"/>
      <c r="AV21" s="493"/>
      <c r="AW21" s="493"/>
      <c r="AX21" s="493"/>
      <c r="AY21" s="493"/>
      <c r="AZ21" s="493"/>
      <c r="BA21" s="494"/>
      <c r="BB21" s="846">
        <f t="shared" si="4"/>
        <v>1380262.4190584444</v>
      </c>
      <c r="BC21" s="84" t="s">
        <v>383</v>
      </c>
      <c r="BD21" s="638">
        <f t="shared" si="5"/>
        <v>0.96599999999999997</v>
      </c>
      <c r="BE21" s="84" t="s">
        <v>383</v>
      </c>
      <c r="BF21" s="639">
        <f t="shared" si="6"/>
        <v>187.85648001016969</v>
      </c>
      <c r="BG21" s="84" t="s">
        <v>383</v>
      </c>
      <c r="BH21" s="105">
        <v>0.95</v>
      </c>
      <c r="BI21" s="84" t="s">
        <v>383</v>
      </c>
      <c r="BJ21" s="640">
        <f t="shared" si="7"/>
        <v>257.97104612202327</v>
      </c>
      <c r="BK21" s="84" t="s">
        <v>383</v>
      </c>
      <c r="BL21" s="58">
        <v>0</v>
      </c>
      <c r="BM21" s="860">
        <v>0</v>
      </c>
      <c r="BN21" s="860">
        <f t="shared" si="8"/>
        <v>0</v>
      </c>
      <c r="BO21" s="511" t="s">
        <v>387</v>
      </c>
      <c r="BP21" s="513">
        <f t="shared" si="20"/>
        <v>0</v>
      </c>
      <c r="BQ21" s="511"/>
      <c r="BR21" s="514"/>
      <c r="BS21" s="513"/>
      <c r="BT21" s="107"/>
      <c r="BU21" s="108"/>
      <c r="BV21" s="798">
        <v>154.61000000000001</v>
      </c>
      <c r="BW21" s="804">
        <f>'9. Pre-Investment Baselines'!AW15-BV21</f>
        <v>-22.010000000000019</v>
      </c>
      <c r="BX21" s="811">
        <v>0</v>
      </c>
      <c r="BY21" s="803">
        <f>'9. Pre-Investment Baselines'!AX15-BX21</f>
        <v>61.88</v>
      </c>
      <c r="BZ21" s="801">
        <v>1.46</v>
      </c>
      <c r="CA21" s="806">
        <f>'9. Pre-Investment Baselines'!AY15-BZ21</f>
        <v>0.6393333000000001</v>
      </c>
      <c r="CB21" s="490">
        <v>0</v>
      </c>
      <c r="CC21" s="808">
        <f>'9. Pre-Investment Baselines'!AZ15-CB21</f>
        <v>1.1026667000000001</v>
      </c>
      <c r="CD21" s="257"/>
      <c r="CE21" s="94"/>
      <c r="CF21" s="495"/>
      <c r="CG21" s="94"/>
      <c r="CH21" s="95"/>
      <c r="CI21" s="52"/>
    </row>
    <row r="22" spans="1:87" ht="30" customHeight="1" x14ac:dyDescent="0.3">
      <c r="A22" s="60" t="str">
        <f t="shared" si="0"/>
        <v>Unitil</v>
      </c>
      <c r="B22" s="66" t="s">
        <v>383</v>
      </c>
      <c r="C22" s="66" t="s">
        <v>383</v>
      </c>
      <c r="D22" s="58" t="s">
        <v>391</v>
      </c>
      <c r="E22" s="58" t="s">
        <v>385</v>
      </c>
      <c r="F22" s="58" t="s">
        <v>394</v>
      </c>
      <c r="G22" s="58" t="s">
        <v>385</v>
      </c>
      <c r="H22" s="10" t="s">
        <v>387</v>
      </c>
      <c r="I22" s="14" t="s">
        <v>453</v>
      </c>
      <c r="J22" s="128" t="s">
        <v>454</v>
      </c>
      <c r="K22" s="833">
        <v>13.26577713517003</v>
      </c>
      <c r="L22" s="526">
        <v>20.084255944967818</v>
      </c>
      <c r="M22" s="58">
        <v>1778</v>
      </c>
      <c r="N22" s="559">
        <v>5015505.8546125153</v>
      </c>
      <c r="O22" s="527" t="s">
        <v>455</v>
      </c>
      <c r="P22" s="524">
        <v>3.569</v>
      </c>
      <c r="Q22" s="608" t="s">
        <v>449</v>
      </c>
      <c r="R22" s="525" t="s">
        <v>449</v>
      </c>
      <c r="S22" s="18">
        <v>179</v>
      </c>
      <c r="T22" s="16">
        <f t="shared" si="14"/>
        <v>179</v>
      </c>
      <c r="U22" s="128">
        <v>0</v>
      </c>
      <c r="V22" s="16">
        <f t="shared" si="14"/>
        <v>0</v>
      </c>
      <c r="W22" s="128">
        <v>0</v>
      </c>
      <c r="X22" s="16">
        <f t="shared" ref="X22" si="23">W22</f>
        <v>0</v>
      </c>
      <c r="Y22" s="128">
        <v>0</v>
      </c>
      <c r="Z22" s="16">
        <f t="shared" ref="Z22" si="24">Y22</f>
        <v>0</v>
      </c>
      <c r="AA22" s="561">
        <v>1299</v>
      </c>
      <c r="AB22" s="562"/>
      <c r="AC22" s="561">
        <f t="shared" si="17"/>
        <v>0</v>
      </c>
      <c r="AD22" s="562"/>
      <c r="AE22" s="561">
        <f t="shared" si="18"/>
        <v>0</v>
      </c>
      <c r="AF22" s="562"/>
      <c r="AG22" s="561">
        <f t="shared" si="19"/>
        <v>0</v>
      </c>
      <c r="AH22" s="562"/>
      <c r="AI22" s="563"/>
      <c r="AJ22" s="562"/>
      <c r="AK22" s="564"/>
      <c r="AL22" s="565"/>
      <c r="AM22" s="566"/>
      <c r="AN22" s="565"/>
      <c r="AO22" s="565"/>
      <c r="AP22" s="565"/>
      <c r="AQ22" s="565"/>
      <c r="AR22" s="565"/>
      <c r="AS22" s="565"/>
      <c r="AT22" s="492"/>
      <c r="AU22" s="493"/>
      <c r="AV22" s="493"/>
      <c r="AW22" s="493"/>
      <c r="AX22" s="493"/>
      <c r="AY22" s="493"/>
      <c r="AZ22" s="493"/>
      <c r="BA22" s="494"/>
      <c r="BB22" s="846">
        <f t="shared" si="4"/>
        <v>5015505.8546125153</v>
      </c>
      <c r="BC22" s="84" t="s">
        <v>383</v>
      </c>
      <c r="BD22" s="638">
        <f t="shared" si="5"/>
        <v>3.569</v>
      </c>
      <c r="BE22" s="84" t="s">
        <v>383</v>
      </c>
      <c r="BF22" s="639">
        <f t="shared" si="6"/>
        <v>694.05774032742829</v>
      </c>
      <c r="BG22" s="84" t="s">
        <v>383</v>
      </c>
      <c r="BH22" s="105">
        <v>0.95</v>
      </c>
      <c r="BI22" s="84" t="s">
        <v>383</v>
      </c>
      <c r="BJ22" s="640">
        <f t="shared" si="7"/>
        <v>937.39804422707925</v>
      </c>
      <c r="BK22" s="84" t="s">
        <v>383</v>
      </c>
      <c r="BL22" s="58">
        <v>0</v>
      </c>
      <c r="BM22" s="860">
        <v>1.3333333333333333</v>
      </c>
      <c r="BN22" s="860">
        <f t="shared" si="8"/>
        <v>1.3333333333333333</v>
      </c>
      <c r="BO22" s="511" t="s">
        <v>387</v>
      </c>
      <c r="BP22" s="513">
        <f t="shared" si="20"/>
        <v>0</v>
      </c>
      <c r="BQ22" s="511"/>
      <c r="BR22" s="514"/>
      <c r="BS22" s="513"/>
      <c r="BT22" s="107"/>
      <c r="BU22" s="108"/>
      <c r="BV22" s="798">
        <v>254.83</v>
      </c>
      <c r="BW22" s="804">
        <f>'9. Pre-Investment Baselines'!AW16-BV22</f>
        <v>-164.09333000000001</v>
      </c>
      <c r="BX22" s="811">
        <v>106.32</v>
      </c>
      <c r="BY22" s="803">
        <f>'9. Pre-Investment Baselines'!AX16-BX22</f>
        <v>-39.483329999999995</v>
      </c>
      <c r="BZ22" s="801">
        <v>1.7909999999999999</v>
      </c>
      <c r="CA22" s="806">
        <f>'9. Pre-Investment Baselines'!AY16-BZ22</f>
        <v>-0.26533329999999999</v>
      </c>
      <c r="CB22" s="490">
        <v>1.427</v>
      </c>
      <c r="CC22" s="808">
        <f>'9. Pre-Investment Baselines'!AZ16-CB22</f>
        <v>-0.5986667</v>
      </c>
      <c r="CD22" s="257"/>
      <c r="CE22" s="94"/>
      <c r="CF22" s="495"/>
      <c r="CG22" s="94"/>
      <c r="CH22" s="95"/>
      <c r="CI22" s="52"/>
    </row>
    <row r="23" spans="1:87" ht="30" customHeight="1" thickBot="1" x14ac:dyDescent="0.35">
      <c r="A23" s="60" t="str">
        <f t="shared" si="0"/>
        <v>Unitil</v>
      </c>
      <c r="B23" s="66" t="s">
        <v>383</v>
      </c>
      <c r="C23" s="66" t="s">
        <v>383</v>
      </c>
      <c r="D23" s="58" t="s">
        <v>391</v>
      </c>
      <c r="E23" s="58" t="s">
        <v>385</v>
      </c>
      <c r="F23" s="496"/>
      <c r="G23" s="496"/>
      <c r="H23" s="497"/>
      <c r="I23" s="529"/>
      <c r="J23" s="496"/>
      <c r="K23" s="834" t="s">
        <v>456</v>
      </c>
      <c r="L23" s="496"/>
      <c r="M23" s="496"/>
      <c r="N23" s="567"/>
      <c r="O23" s="530"/>
      <c r="P23" s="568"/>
      <c r="Q23" s="510"/>
      <c r="R23" s="531"/>
      <c r="S23" s="569"/>
      <c r="T23" s="569"/>
      <c r="U23" s="569"/>
      <c r="V23" s="569"/>
      <c r="W23" s="569"/>
      <c r="X23" s="569"/>
      <c r="Y23" s="569"/>
      <c r="Z23" s="569"/>
      <c r="AA23" s="569"/>
      <c r="AB23" s="569"/>
      <c r="AC23" s="569"/>
      <c r="AD23" s="569"/>
      <c r="AE23" s="569"/>
      <c r="AF23" s="569"/>
      <c r="AG23" s="569"/>
      <c r="AH23" s="569"/>
      <c r="AI23" s="569"/>
      <c r="AJ23" s="569"/>
      <c r="AK23" s="569"/>
      <c r="AL23" s="569"/>
      <c r="AM23" s="497"/>
      <c r="AN23" s="569"/>
      <c r="AO23" s="497"/>
      <c r="AP23" s="569"/>
      <c r="AQ23" s="497"/>
      <c r="AR23" s="569"/>
      <c r="AS23" s="497"/>
      <c r="AT23" s="492"/>
      <c r="AU23" s="493"/>
      <c r="AV23" s="493"/>
      <c r="AW23" s="493"/>
      <c r="AX23" s="493"/>
      <c r="AY23" s="493"/>
      <c r="AZ23" s="493"/>
      <c r="BA23" s="494"/>
      <c r="BB23" s="846"/>
      <c r="BC23" s="84" t="s">
        <v>383</v>
      </c>
      <c r="BD23" s="638">
        <f t="shared" si="5"/>
        <v>0</v>
      </c>
      <c r="BE23" s="84" t="s">
        <v>383</v>
      </c>
      <c r="BF23" s="639">
        <f t="shared" si="6"/>
        <v>0</v>
      </c>
      <c r="BG23" s="84" t="s">
        <v>383</v>
      </c>
      <c r="BH23" s="105"/>
      <c r="BI23" s="84" t="s">
        <v>383</v>
      </c>
      <c r="BJ23" s="640">
        <f t="shared" si="7"/>
        <v>0</v>
      </c>
      <c r="BK23" s="84" t="s">
        <v>383</v>
      </c>
      <c r="BL23" s="496"/>
      <c r="BM23" s="861"/>
      <c r="BN23" s="861"/>
      <c r="BO23" s="515"/>
      <c r="BP23" s="517"/>
      <c r="BQ23" s="515"/>
      <c r="BR23" s="516"/>
      <c r="BS23" s="517"/>
      <c r="BT23" s="107"/>
      <c r="BU23" s="108"/>
      <c r="BV23" s="798"/>
      <c r="BW23" s="489"/>
      <c r="BX23" s="811"/>
      <c r="BY23" s="803"/>
      <c r="BZ23" s="801"/>
      <c r="CA23" s="490"/>
      <c r="CB23" s="490"/>
      <c r="CC23" s="808"/>
      <c r="CD23" s="257"/>
      <c r="CE23" s="94"/>
      <c r="CF23" s="495"/>
      <c r="CG23" s="94"/>
      <c r="CH23" s="95"/>
      <c r="CI23" s="52"/>
    </row>
    <row r="24" spans="1:87" ht="30" customHeight="1" thickBot="1" x14ac:dyDescent="0.35">
      <c r="A24" s="60" t="str">
        <f t="shared" si="0"/>
        <v>Unitil</v>
      </c>
      <c r="B24" s="66" t="s">
        <v>383</v>
      </c>
      <c r="C24" s="66" t="s">
        <v>383</v>
      </c>
      <c r="D24" s="58" t="s">
        <v>395</v>
      </c>
      <c r="E24" s="58" t="s">
        <v>395</v>
      </c>
      <c r="F24" s="58" t="s">
        <v>396</v>
      </c>
      <c r="G24" s="58" t="s">
        <v>395</v>
      </c>
      <c r="H24" s="10" t="s">
        <v>387</v>
      </c>
      <c r="I24" s="14" t="s">
        <v>383</v>
      </c>
      <c r="J24" s="128" t="s">
        <v>383</v>
      </c>
      <c r="K24" s="833">
        <v>11.951000000000001</v>
      </c>
      <c r="L24" s="526">
        <v>0</v>
      </c>
      <c r="M24" s="58">
        <v>0</v>
      </c>
      <c r="N24" s="845">
        <v>0</v>
      </c>
      <c r="O24" s="527" t="s">
        <v>383</v>
      </c>
      <c r="P24" s="524">
        <v>0</v>
      </c>
      <c r="Q24" s="608" t="s">
        <v>448</v>
      </c>
      <c r="R24" s="528" t="s">
        <v>449</v>
      </c>
      <c r="S24" s="128">
        <v>0</v>
      </c>
      <c r="T24" s="16">
        <f t="shared" ref="T24:V27" si="25">S24</f>
        <v>0</v>
      </c>
      <c r="U24" s="128">
        <v>0</v>
      </c>
      <c r="V24" s="16">
        <f t="shared" si="25"/>
        <v>0</v>
      </c>
      <c r="W24" s="128">
        <v>0</v>
      </c>
      <c r="X24" s="16">
        <f t="shared" ref="X24" si="26">W24</f>
        <v>0</v>
      </c>
      <c r="Y24" s="128">
        <v>1</v>
      </c>
      <c r="Z24" s="16">
        <v>0</v>
      </c>
      <c r="AA24" s="561">
        <f t="shared" ref="AA24:AA25" si="27">IF(S24=0,0)</f>
        <v>0</v>
      </c>
      <c r="AB24" s="562"/>
      <c r="AC24" s="561">
        <f t="shared" ref="AC24:AC27" si="28">IF(U24=0,0)</f>
        <v>0</v>
      </c>
      <c r="AD24" s="562"/>
      <c r="AE24" s="561">
        <f t="shared" ref="AE24:AE27" si="29">IF(W24=0,0)</f>
        <v>0</v>
      </c>
      <c r="AF24" s="562"/>
      <c r="AG24" s="561">
        <v>2000</v>
      </c>
      <c r="AH24" s="562"/>
      <c r="AI24" s="563"/>
      <c r="AJ24" s="562"/>
      <c r="AK24" s="564"/>
      <c r="AL24" s="565"/>
      <c r="AM24" s="566"/>
      <c r="AN24" s="565"/>
      <c r="AO24" s="565"/>
      <c r="AP24" s="565"/>
      <c r="AQ24" s="565"/>
      <c r="AR24" s="565"/>
      <c r="AS24" s="565"/>
      <c r="AT24" s="492"/>
      <c r="AU24" s="493"/>
      <c r="AV24" s="493"/>
      <c r="AW24" s="493"/>
      <c r="AX24" s="493"/>
      <c r="AY24" s="493"/>
      <c r="AZ24" s="493"/>
      <c r="BA24" s="494"/>
      <c r="BB24" s="846"/>
      <c r="BC24" s="855"/>
      <c r="BD24" s="638">
        <f t="shared" si="5"/>
        <v>0</v>
      </c>
      <c r="BE24" s="84" t="s">
        <v>383</v>
      </c>
      <c r="BF24" s="639">
        <f t="shared" si="6"/>
        <v>0</v>
      </c>
      <c r="BG24" s="84" t="s">
        <v>383</v>
      </c>
      <c r="BH24" s="105">
        <v>0.95</v>
      </c>
      <c r="BI24" s="84" t="s">
        <v>383</v>
      </c>
      <c r="BJ24" s="640">
        <f t="shared" si="7"/>
        <v>0</v>
      </c>
      <c r="BK24" s="84" t="s">
        <v>383</v>
      </c>
      <c r="BL24" s="58" t="s">
        <v>383</v>
      </c>
      <c r="BM24" s="860"/>
      <c r="BN24" s="860"/>
      <c r="BO24" s="518" t="s">
        <v>451</v>
      </c>
      <c r="BP24" s="603">
        <f>IF(BO24="Y",M24,IF(BO24="N",0))</f>
        <v>0</v>
      </c>
      <c r="BQ24" s="518"/>
      <c r="BR24" s="519"/>
      <c r="BS24" s="603"/>
      <c r="BT24" s="107"/>
      <c r="BU24" s="108"/>
      <c r="BV24" s="798" t="s">
        <v>383</v>
      </c>
      <c r="BW24" s="804" t="str">
        <f>'9. Pre-Investment Baselines'!AW18</f>
        <v>N/A</v>
      </c>
      <c r="BX24" s="811" t="s">
        <v>383</v>
      </c>
      <c r="BY24" s="803" t="str">
        <f>'9. Pre-Investment Baselines'!AX18</f>
        <v>N/A</v>
      </c>
      <c r="BZ24" s="801" t="s">
        <v>383</v>
      </c>
      <c r="CA24" s="490" t="str">
        <f>'9. Pre-Investment Baselines'!AY18</f>
        <v>N/A</v>
      </c>
      <c r="CB24" s="490" t="s">
        <v>383</v>
      </c>
      <c r="CC24" s="808" t="str">
        <f>'9. Pre-Investment Baselines'!AZ18</f>
        <v>N/A</v>
      </c>
      <c r="CD24" s="257"/>
      <c r="CE24" s="94"/>
      <c r="CF24" s="495"/>
      <c r="CG24" s="94"/>
      <c r="CH24" s="95"/>
      <c r="CI24" s="52"/>
    </row>
    <row r="25" spans="1:87" ht="30" customHeight="1" thickBot="1" x14ac:dyDescent="0.35">
      <c r="A25" s="60" t="str">
        <f t="shared" si="0"/>
        <v>Unitil</v>
      </c>
      <c r="B25" s="66" t="s">
        <v>383</v>
      </c>
      <c r="C25" s="66" t="s">
        <v>383</v>
      </c>
      <c r="D25" s="58" t="s">
        <v>395</v>
      </c>
      <c r="E25" s="58" t="s">
        <v>395</v>
      </c>
      <c r="F25" s="58" t="s">
        <v>397</v>
      </c>
      <c r="G25" s="58" t="s">
        <v>395</v>
      </c>
      <c r="H25" s="10" t="s">
        <v>387</v>
      </c>
      <c r="I25" s="14" t="s">
        <v>453</v>
      </c>
      <c r="J25" s="128" t="s">
        <v>454</v>
      </c>
      <c r="K25" s="833">
        <v>11.951000000000001</v>
      </c>
      <c r="L25" s="526">
        <v>0.16020538738825757</v>
      </c>
      <c r="M25" s="58">
        <v>1</v>
      </c>
      <c r="N25" s="559">
        <v>6399339.5081432601</v>
      </c>
      <c r="O25" s="527" t="s">
        <v>455</v>
      </c>
      <c r="P25" s="524">
        <v>3.617</v>
      </c>
      <c r="Q25" s="608" t="s">
        <v>448</v>
      </c>
      <c r="R25" s="528" t="s">
        <v>448</v>
      </c>
      <c r="S25" s="18">
        <v>0</v>
      </c>
      <c r="T25" s="16">
        <f t="shared" si="25"/>
        <v>0</v>
      </c>
      <c r="U25" s="128">
        <v>0</v>
      </c>
      <c r="V25" s="16">
        <f t="shared" si="25"/>
        <v>0</v>
      </c>
      <c r="W25" s="128">
        <v>0</v>
      </c>
      <c r="X25" s="16">
        <f t="shared" ref="X25" si="30">W25</f>
        <v>0</v>
      </c>
      <c r="Y25" s="18">
        <v>0</v>
      </c>
      <c r="Z25" s="16">
        <f t="shared" ref="Z25" si="31">Y25</f>
        <v>0</v>
      </c>
      <c r="AA25" s="561">
        <f t="shared" si="27"/>
        <v>0</v>
      </c>
      <c r="AB25" s="562"/>
      <c r="AC25" s="561">
        <f t="shared" si="28"/>
        <v>0</v>
      </c>
      <c r="AD25" s="562"/>
      <c r="AE25" s="561">
        <f t="shared" si="29"/>
        <v>0</v>
      </c>
      <c r="AF25" s="562"/>
      <c r="AG25" s="561">
        <f t="shared" ref="AG25:AG27" si="32">IF(Y25=0,0)</f>
        <v>0</v>
      </c>
      <c r="AH25" s="562"/>
      <c r="AI25" s="563"/>
      <c r="AJ25" s="562"/>
      <c r="AK25" s="564"/>
      <c r="AL25" s="565"/>
      <c r="AM25" s="566"/>
      <c r="AN25" s="565"/>
      <c r="AO25" s="565"/>
      <c r="AP25" s="565"/>
      <c r="AQ25" s="565"/>
      <c r="AR25" s="565"/>
      <c r="AS25" s="565"/>
      <c r="AT25" s="492"/>
      <c r="AU25" s="493"/>
      <c r="AV25" s="493"/>
      <c r="AW25" s="493"/>
      <c r="AX25" s="493"/>
      <c r="AY25" s="493"/>
      <c r="AZ25" s="493"/>
      <c r="BA25" s="494"/>
      <c r="BB25" s="846">
        <f t="shared" si="4"/>
        <v>6399339.5081432601</v>
      </c>
      <c r="BC25" s="856">
        <f>BB25*0.01525</f>
        <v>97589.92749918472</v>
      </c>
      <c r="BD25" s="638">
        <f t="shared" si="5"/>
        <v>3.617</v>
      </c>
      <c r="BE25" s="84" t="s">
        <v>383</v>
      </c>
      <c r="BF25" s="639">
        <f t="shared" si="6"/>
        <v>703.39222380619447</v>
      </c>
      <c r="BG25" s="84" t="s">
        <v>383</v>
      </c>
      <c r="BH25" s="105">
        <v>0.95</v>
      </c>
      <c r="BI25" s="84" t="s">
        <v>383</v>
      </c>
      <c r="BJ25" s="640">
        <f t="shared" si="7"/>
        <v>1196.0365540719754</v>
      </c>
      <c r="BK25" s="857">
        <f>BC25/1000*0.289</f>
        <v>28.203489047264384</v>
      </c>
      <c r="BL25" s="58">
        <v>0</v>
      </c>
      <c r="BM25" s="860">
        <v>0</v>
      </c>
      <c r="BN25" s="860">
        <f t="shared" si="8"/>
        <v>0</v>
      </c>
      <c r="BO25" s="518" t="s">
        <v>451</v>
      </c>
      <c r="BP25" s="513">
        <f t="shared" ref="BP25:BP27" si="33">IF(BO25="Y",M25,IF(BO25="N",0))</f>
        <v>1</v>
      </c>
      <c r="BQ25" s="518"/>
      <c r="BR25" s="519"/>
      <c r="BS25" s="603"/>
      <c r="BT25" s="107"/>
      <c r="BU25" s="108"/>
      <c r="BV25" s="798">
        <v>0</v>
      </c>
      <c r="BW25" s="804">
        <f>'9. Pre-Investment Baselines'!AW19-BV25</f>
        <v>90.91</v>
      </c>
      <c r="BX25" s="811">
        <v>0</v>
      </c>
      <c r="BY25" s="803">
        <f>'9. Pre-Investment Baselines'!AX19-BX25</f>
        <v>0</v>
      </c>
      <c r="BZ25" s="801">
        <v>0</v>
      </c>
      <c r="CA25" s="806">
        <f>'9. Pre-Investment Baselines'!AY19-BZ25</f>
        <v>1</v>
      </c>
      <c r="CB25" s="490">
        <v>0</v>
      </c>
      <c r="CC25" s="808">
        <f>'9. Pre-Investment Baselines'!AZ19-CB25</f>
        <v>0</v>
      </c>
      <c r="CD25" s="257"/>
      <c r="CE25" s="94"/>
      <c r="CF25" s="495"/>
      <c r="CG25" s="94"/>
      <c r="CH25" s="95"/>
      <c r="CI25" s="52"/>
    </row>
    <row r="26" spans="1:87" ht="30" customHeight="1" thickBot="1" x14ac:dyDescent="0.35">
      <c r="A26" s="60" t="str">
        <f t="shared" si="0"/>
        <v>Unitil</v>
      </c>
      <c r="B26" s="66" t="s">
        <v>383</v>
      </c>
      <c r="C26" s="66" t="s">
        <v>383</v>
      </c>
      <c r="D26" s="58" t="s">
        <v>395</v>
      </c>
      <c r="E26" s="58" t="s">
        <v>395</v>
      </c>
      <c r="F26" s="58" t="s">
        <v>398</v>
      </c>
      <c r="G26" s="58" t="s">
        <v>399</v>
      </c>
      <c r="H26" s="10" t="s">
        <v>387</v>
      </c>
      <c r="I26" s="14" t="s">
        <v>453</v>
      </c>
      <c r="J26" s="128" t="s">
        <v>454</v>
      </c>
      <c r="K26" s="833">
        <v>11.951000000000001</v>
      </c>
      <c r="L26" s="526">
        <v>42.38164610675571</v>
      </c>
      <c r="M26" s="58">
        <v>1535</v>
      </c>
      <c r="N26" s="559">
        <v>6680392.567020514</v>
      </c>
      <c r="O26" s="527" t="s">
        <v>455</v>
      </c>
      <c r="P26" s="524">
        <v>4.8479999999999999</v>
      </c>
      <c r="Q26" s="608" t="s">
        <v>448</v>
      </c>
      <c r="R26" s="528" t="s">
        <v>448</v>
      </c>
      <c r="S26" s="18">
        <v>229</v>
      </c>
      <c r="T26" s="16">
        <f t="shared" si="25"/>
        <v>229</v>
      </c>
      <c r="U26" s="128">
        <v>0</v>
      </c>
      <c r="V26" s="16">
        <f t="shared" si="25"/>
        <v>0</v>
      </c>
      <c r="W26" s="128">
        <v>2</v>
      </c>
      <c r="X26" s="16">
        <f t="shared" ref="X26" si="34">W26</f>
        <v>2</v>
      </c>
      <c r="Y26" s="18">
        <v>0</v>
      </c>
      <c r="Z26" s="16">
        <f t="shared" ref="Z26" si="35">Y26</f>
        <v>0</v>
      </c>
      <c r="AA26" s="561">
        <v>2047</v>
      </c>
      <c r="AB26" s="562"/>
      <c r="AC26" s="561">
        <f t="shared" si="28"/>
        <v>0</v>
      </c>
      <c r="AD26" s="562"/>
      <c r="AE26" s="561">
        <v>11</v>
      </c>
      <c r="AF26" s="562"/>
      <c r="AG26" s="561">
        <f t="shared" si="32"/>
        <v>0</v>
      </c>
      <c r="AH26" s="562"/>
      <c r="AI26" s="563"/>
      <c r="AJ26" s="562"/>
      <c r="AK26" s="564"/>
      <c r="AL26" s="565"/>
      <c r="AM26" s="566"/>
      <c r="AN26" s="565"/>
      <c r="AO26" s="565"/>
      <c r="AP26" s="565"/>
      <c r="AQ26" s="565"/>
      <c r="AR26" s="565"/>
      <c r="AS26" s="565"/>
      <c r="AT26" s="492"/>
      <c r="AU26" s="493"/>
      <c r="AV26" s="493"/>
      <c r="AW26" s="493"/>
      <c r="AX26" s="493"/>
      <c r="AY26" s="493"/>
      <c r="AZ26" s="493"/>
      <c r="BA26" s="494"/>
      <c r="BB26" s="846">
        <f t="shared" si="4"/>
        <v>6680392.567020514</v>
      </c>
      <c r="BC26" s="856">
        <f>BB26*0.01525</f>
        <v>101875.98664706283</v>
      </c>
      <c r="BD26" s="638">
        <f t="shared" si="5"/>
        <v>4.8479999999999999</v>
      </c>
      <c r="BE26" s="84" t="s">
        <v>383</v>
      </c>
      <c r="BF26" s="639">
        <f t="shared" si="6"/>
        <v>942.78283135538572</v>
      </c>
      <c r="BG26" s="84" t="s">
        <v>383</v>
      </c>
      <c r="BH26" s="105">
        <v>0.95</v>
      </c>
      <c r="BI26" s="84" t="s">
        <v>383</v>
      </c>
      <c r="BJ26" s="640">
        <f t="shared" si="7"/>
        <v>1248.5653707761342</v>
      </c>
      <c r="BK26" s="857">
        <f>BC26/1000*0.289</f>
        <v>29.442160141001157</v>
      </c>
      <c r="BL26" s="58">
        <v>1</v>
      </c>
      <c r="BM26" s="860">
        <v>1</v>
      </c>
      <c r="BN26" s="860">
        <f t="shared" si="8"/>
        <v>0</v>
      </c>
      <c r="BO26" s="518" t="s">
        <v>451</v>
      </c>
      <c r="BP26" s="513">
        <f t="shared" si="33"/>
        <v>1535</v>
      </c>
      <c r="BQ26" s="518"/>
      <c r="BR26" s="519"/>
      <c r="BS26" s="603"/>
      <c r="BT26" s="107"/>
      <c r="BU26" s="108"/>
      <c r="BV26" s="798">
        <v>847.37</v>
      </c>
      <c r="BW26" s="804">
        <f>'9. Pre-Investment Baselines'!AW20-BV26</f>
        <v>-600.5367</v>
      </c>
      <c r="BX26" s="811">
        <v>89.53</v>
      </c>
      <c r="BY26" s="803">
        <f>'9. Pre-Investment Baselines'!AX20-BX26</f>
        <v>-2.393330000000006</v>
      </c>
      <c r="BZ26" s="801">
        <v>2.5790000000000002</v>
      </c>
      <c r="CA26" s="806">
        <f>'9. Pre-Investment Baselines'!AY20-BZ26</f>
        <v>0.14866669999999971</v>
      </c>
      <c r="CB26" s="490">
        <v>1.3859999999999999</v>
      </c>
      <c r="CC26" s="808">
        <f>'9. Pre-Investment Baselines'!AZ20-CB26</f>
        <v>-6.8666699999999858E-2</v>
      </c>
      <c r="CD26" s="257"/>
      <c r="CE26" s="94"/>
      <c r="CF26" s="495"/>
      <c r="CG26" s="94"/>
      <c r="CH26" s="95"/>
      <c r="CI26" s="52"/>
    </row>
    <row r="27" spans="1:87" ht="30" customHeight="1" x14ac:dyDescent="0.3">
      <c r="A27" s="60" t="str">
        <f t="shared" si="0"/>
        <v>Unitil</v>
      </c>
      <c r="B27" s="66" t="s">
        <v>383</v>
      </c>
      <c r="C27" s="66" t="s">
        <v>383</v>
      </c>
      <c r="D27" s="58" t="s">
        <v>395</v>
      </c>
      <c r="E27" s="58" t="s">
        <v>395</v>
      </c>
      <c r="F27" s="58" t="s">
        <v>400</v>
      </c>
      <c r="G27" s="58" t="s">
        <v>395</v>
      </c>
      <c r="H27" s="10" t="s">
        <v>387</v>
      </c>
      <c r="I27" s="14" t="s">
        <v>453</v>
      </c>
      <c r="J27" s="128" t="s">
        <v>454</v>
      </c>
      <c r="K27" s="833">
        <v>11.951000000000001</v>
      </c>
      <c r="L27" s="526">
        <v>11.455256916251896</v>
      </c>
      <c r="M27" s="58">
        <v>574</v>
      </c>
      <c r="N27" s="559">
        <v>2382422.562369382</v>
      </c>
      <c r="O27" s="527" t="s">
        <v>455</v>
      </c>
      <c r="P27" s="524">
        <v>1.27</v>
      </c>
      <c r="Q27" s="608" t="s">
        <v>448</v>
      </c>
      <c r="R27" s="528" t="s">
        <v>448</v>
      </c>
      <c r="S27" s="18">
        <v>90</v>
      </c>
      <c r="T27" s="16">
        <f t="shared" si="25"/>
        <v>90</v>
      </c>
      <c r="U27" s="128">
        <v>0</v>
      </c>
      <c r="V27" s="16">
        <f t="shared" si="25"/>
        <v>0</v>
      </c>
      <c r="W27" s="128">
        <v>0</v>
      </c>
      <c r="X27" s="16">
        <f t="shared" ref="X27" si="36">W27</f>
        <v>0</v>
      </c>
      <c r="Y27" s="18">
        <v>0</v>
      </c>
      <c r="Z27" s="16">
        <f t="shared" ref="Z27" si="37">Y27</f>
        <v>0</v>
      </c>
      <c r="AA27" s="561">
        <v>586</v>
      </c>
      <c r="AB27" s="562"/>
      <c r="AC27" s="561">
        <f t="shared" si="28"/>
        <v>0</v>
      </c>
      <c r="AD27" s="562"/>
      <c r="AE27" s="561">
        <f t="shared" si="29"/>
        <v>0</v>
      </c>
      <c r="AF27" s="562"/>
      <c r="AG27" s="561">
        <f t="shared" si="32"/>
        <v>0</v>
      </c>
      <c r="AH27" s="562"/>
      <c r="AI27" s="563"/>
      <c r="AJ27" s="562"/>
      <c r="AK27" s="564"/>
      <c r="AL27" s="565"/>
      <c r="AM27" s="566"/>
      <c r="AN27" s="565"/>
      <c r="AO27" s="565"/>
      <c r="AP27" s="565"/>
      <c r="AQ27" s="565"/>
      <c r="AR27" s="565"/>
      <c r="AS27" s="565"/>
      <c r="AT27" s="492"/>
      <c r="AU27" s="493"/>
      <c r="AV27" s="493"/>
      <c r="AW27" s="493"/>
      <c r="AX27" s="493"/>
      <c r="AY27" s="493"/>
      <c r="AZ27" s="493"/>
      <c r="BA27" s="494"/>
      <c r="BB27" s="846">
        <f t="shared" si="4"/>
        <v>2382422.562369382</v>
      </c>
      <c r="BC27" s="856">
        <f>BB27*0.01525</f>
        <v>36331.944076133077</v>
      </c>
      <c r="BD27" s="638">
        <f t="shared" si="5"/>
        <v>1.27</v>
      </c>
      <c r="BE27" s="84" t="s">
        <v>383</v>
      </c>
      <c r="BF27" s="639">
        <f t="shared" si="6"/>
        <v>246.97487537568892</v>
      </c>
      <c r="BG27" s="84" t="s">
        <v>383</v>
      </c>
      <c r="BH27" s="105">
        <v>0.95</v>
      </c>
      <c r="BI27" s="84" t="s">
        <v>383</v>
      </c>
      <c r="BJ27" s="640">
        <f t="shared" si="7"/>
        <v>445.27477690683753</v>
      </c>
      <c r="BK27" s="857">
        <f>BC27/1000*0.289</f>
        <v>10.499931838002459</v>
      </c>
      <c r="BL27" s="58">
        <v>1</v>
      </c>
      <c r="BM27" s="860">
        <v>0.33333333333333331</v>
      </c>
      <c r="BN27" s="860">
        <f t="shared" si="8"/>
        <v>-0.66666666666666674</v>
      </c>
      <c r="BO27" s="518" t="s">
        <v>451</v>
      </c>
      <c r="BP27" s="513">
        <f t="shared" si="33"/>
        <v>574</v>
      </c>
      <c r="BQ27" s="518"/>
      <c r="BR27" s="519"/>
      <c r="BS27" s="603"/>
      <c r="BT27" s="107"/>
      <c r="BU27" s="108"/>
      <c r="BV27" s="798">
        <v>706.07</v>
      </c>
      <c r="BW27" s="804">
        <f>'9. Pre-Investment Baselines'!AW21-BV27</f>
        <v>-472.88330000000008</v>
      </c>
      <c r="BX27" s="811">
        <v>51.77</v>
      </c>
      <c r="BY27" s="803">
        <f>'9. Pre-Investment Baselines'!AX21-BX27</f>
        <v>0.51666999999999774</v>
      </c>
      <c r="BZ27" s="801">
        <v>1.343</v>
      </c>
      <c r="CA27" s="806">
        <f>'9. Pre-Investment Baselines'!AY21-BZ27</f>
        <v>0.74466670000000024</v>
      </c>
      <c r="CB27" s="490">
        <v>0.86099999999999999</v>
      </c>
      <c r="CC27" s="808">
        <f>'9. Pre-Investment Baselines'!AZ21-CB27</f>
        <v>-0.16600000000000004</v>
      </c>
      <c r="CD27" s="257"/>
      <c r="CE27" s="94"/>
      <c r="CF27" s="495"/>
      <c r="CG27" s="94"/>
      <c r="CH27" s="95"/>
      <c r="CI27" s="52"/>
    </row>
    <row r="28" spans="1:87" ht="30" customHeight="1" thickBot="1" x14ac:dyDescent="0.35">
      <c r="A28" s="60" t="str">
        <f t="shared" si="0"/>
        <v>Unitil</v>
      </c>
      <c r="B28" s="66" t="s">
        <v>383</v>
      </c>
      <c r="C28" s="66" t="s">
        <v>383</v>
      </c>
      <c r="D28" s="58" t="s">
        <v>395</v>
      </c>
      <c r="E28" s="58" t="s">
        <v>395</v>
      </c>
      <c r="F28" s="496"/>
      <c r="G28" s="496"/>
      <c r="H28" s="497"/>
      <c r="I28" s="529"/>
      <c r="J28" s="496"/>
      <c r="K28" s="834" t="s">
        <v>456</v>
      </c>
      <c r="L28" s="496"/>
      <c r="M28" s="496"/>
      <c r="N28" s="567"/>
      <c r="O28" s="530"/>
      <c r="P28" s="568"/>
      <c r="Q28" s="510"/>
      <c r="R28" s="531"/>
      <c r="S28" s="569"/>
      <c r="T28" s="569"/>
      <c r="U28" s="569"/>
      <c r="V28" s="569"/>
      <c r="W28" s="569"/>
      <c r="X28" s="569"/>
      <c r="Y28" s="569"/>
      <c r="Z28" s="569"/>
      <c r="AA28" s="569"/>
      <c r="AB28" s="569"/>
      <c r="AC28" s="569"/>
      <c r="AD28" s="569"/>
      <c r="AE28" s="569"/>
      <c r="AF28" s="569"/>
      <c r="AG28" s="569"/>
      <c r="AH28" s="569"/>
      <c r="AI28" s="569"/>
      <c r="AJ28" s="569"/>
      <c r="AK28" s="569"/>
      <c r="AL28" s="569"/>
      <c r="AM28" s="497"/>
      <c r="AN28" s="569"/>
      <c r="AO28" s="497"/>
      <c r="AP28" s="569"/>
      <c r="AQ28" s="497"/>
      <c r="AR28" s="569"/>
      <c r="AS28" s="497"/>
      <c r="AT28" s="492"/>
      <c r="AU28" s="493"/>
      <c r="AV28" s="493"/>
      <c r="AW28" s="493"/>
      <c r="AX28" s="493"/>
      <c r="AY28" s="493"/>
      <c r="AZ28" s="493"/>
      <c r="BA28" s="494"/>
      <c r="BB28" s="846"/>
      <c r="BC28" s="84" t="s">
        <v>383</v>
      </c>
      <c r="BD28" s="638">
        <f t="shared" si="5"/>
        <v>0</v>
      </c>
      <c r="BE28" s="84" t="s">
        <v>383</v>
      </c>
      <c r="BF28" s="639">
        <f t="shared" si="6"/>
        <v>0</v>
      </c>
      <c r="BG28" s="84" t="s">
        <v>383</v>
      </c>
      <c r="BH28" s="105"/>
      <c r="BI28" s="84" t="s">
        <v>383</v>
      </c>
      <c r="BJ28" s="640">
        <f t="shared" si="7"/>
        <v>0</v>
      </c>
      <c r="BK28" s="84" t="s">
        <v>383</v>
      </c>
      <c r="BL28" s="496"/>
      <c r="BM28" s="861"/>
      <c r="BN28" s="861"/>
      <c r="BO28" s="515"/>
      <c r="BP28" s="517"/>
      <c r="BQ28" s="515"/>
      <c r="BR28" s="516"/>
      <c r="BS28" s="517"/>
      <c r="BT28" s="107"/>
      <c r="BU28" s="108"/>
      <c r="BV28" s="798"/>
      <c r="BW28" s="489"/>
      <c r="BX28" s="811"/>
      <c r="BY28" s="803"/>
      <c r="BZ28" s="801"/>
      <c r="CA28" s="490"/>
      <c r="CB28" s="490"/>
      <c r="CC28" s="808"/>
      <c r="CD28" s="257"/>
      <c r="CE28" s="94"/>
      <c r="CF28" s="495"/>
      <c r="CG28" s="94"/>
      <c r="CH28" s="95"/>
      <c r="CI28" s="52"/>
    </row>
    <row r="29" spans="1:87" ht="30" customHeight="1" x14ac:dyDescent="0.3">
      <c r="A29" s="60" t="str">
        <f t="shared" si="0"/>
        <v>Unitil</v>
      </c>
      <c r="B29" s="66" t="s">
        <v>383</v>
      </c>
      <c r="C29" s="66" t="s">
        <v>383</v>
      </c>
      <c r="D29" s="58" t="s">
        <v>401</v>
      </c>
      <c r="E29" s="58" t="s">
        <v>385</v>
      </c>
      <c r="F29" s="58" t="s">
        <v>402</v>
      </c>
      <c r="G29" s="58" t="s">
        <v>385</v>
      </c>
      <c r="H29" s="10" t="s">
        <v>387</v>
      </c>
      <c r="I29" s="14" t="s">
        <v>453</v>
      </c>
      <c r="J29" s="128" t="s">
        <v>454</v>
      </c>
      <c r="K29" s="833">
        <v>8.9160000000000004</v>
      </c>
      <c r="L29" s="526">
        <v>15.651324564196978</v>
      </c>
      <c r="M29" s="58">
        <v>896</v>
      </c>
      <c r="N29" s="559">
        <v>2152827.425888916</v>
      </c>
      <c r="O29" s="527" t="s">
        <v>455</v>
      </c>
      <c r="P29" s="524">
        <v>1.673</v>
      </c>
      <c r="Q29" s="608" t="s">
        <v>448</v>
      </c>
      <c r="R29" s="525" t="s">
        <v>449</v>
      </c>
      <c r="S29" s="18">
        <v>97</v>
      </c>
      <c r="T29" s="16">
        <f>S29</f>
        <v>97</v>
      </c>
      <c r="U29" s="128">
        <v>0</v>
      </c>
      <c r="V29" s="16">
        <f>U29</f>
        <v>0</v>
      </c>
      <c r="W29" s="128">
        <v>3</v>
      </c>
      <c r="X29" s="16">
        <f>W29</f>
        <v>3</v>
      </c>
      <c r="Y29" s="18">
        <v>0</v>
      </c>
      <c r="Z29" s="16">
        <f>Y29</f>
        <v>0</v>
      </c>
      <c r="AA29" s="561">
        <v>661</v>
      </c>
      <c r="AB29" s="562"/>
      <c r="AC29" s="561">
        <f>IF(U29=0,0)</f>
        <v>0</v>
      </c>
      <c r="AD29" s="562"/>
      <c r="AE29" s="561">
        <v>18</v>
      </c>
      <c r="AF29" s="562"/>
      <c r="AG29" s="561">
        <f>IF(Y29=0,0)</f>
        <v>0</v>
      </c>
      <c r="AH29" s="562"/>
      <c r="AI29" s="563"/>
      <c r="AJ29" s="562"/>
      <c r="AK29" s="564"/>
      <c r="AL29" s="565"/>
      <c r="AM29" s="566"/>
      <c r="AN29" s="565"/>
      <c r="AO29" s="565"/>
      <c r="AP29" s="565"/>
      <c r="AQ29" s="565"/>
      <c r="AR29" s="565"/>
      <c r="AS29" s="565"/>
      <c r="AT29" s="492"/>
      <c r="AU29" s="493"/>
      <c r="AV29" s="493"/>
      <c r="AW29" s="493"/>
      <c r="AX29" s="493"/>
      <c r="AY29" s="493"/>
      <c r="AZ29" s="493"/>
      <c r="BA29" s="494"/>
      <c r="BB29" s="846">
        <f t="shared" si="4"/>
        <v>2152827.425888916</v>
      </c>
      <c r="BC29" s="84" t="s">
        <v>383</v>
      </c>
      <c r="BD29" s="638">
        <f t="shared" si="5"/>
        <v>1.673</v>
      </c>
      <c r="BE29" s="84" t="s">
        <v>383</v>
      </c>
      <c r="BF29" s="639">
        <f t="shared" si="6"/>
        <v>325.34564291616346</v>
      </c>
      <c r="BG29" s="84" t="s">
        <v>383</v>
      </c>
      <c r="BH29" s="105">
        <v>0.95</v>
      </c>
      <c r="BI29" s="84" t="s">
        <v>383</v>
      </c>
      <c r="BJ29" s="640">
        <f t="shared" si="7"/>
        <v>402.36344589863842</v>
      </c>
      <c r="BK29" s="84" t="s">
        <v>383</v>
      </c>
      <c r="BL29" s="58">
        <v>1</v>
      </c>
      <c r="BM29" s="860">
        <v>0</v>
      </c>
      <c r="BN29" s="860">
        <f t="shared" si="8"/>
        <v>-1</v>
      </c>
      <c r="BO29" s="511" t="s">
        <v>387</v>
      </c>
      <c r="BP29" s="513">
        <f>IF(BO29="Y",M29,IF(BO29="N",0))</f>
        <v>0</v>
      </c>
      <c r="BQ29" s="511"/>
      <c r="BR29" s="514"/>
      <c r="BS29" s="513"/>
      <c r="BT29" s="107"/>
      <c r="BU29" s="108"/>
      <c r="BV29" s="798">
        <v>595.05999999999995</v>
      </c>
      <c r="BW29" s="489" t="s">
        <v>383</v>
      </c>
      <c r="BX29" s="811">
        <v>67.180000000000007</v>
      </c>
      <c r="BY29" s="803" t="s">
        <v>383</v>
      </c>
      <c r="BZ29" s="801">
        <v>0.72199999999999998</v>
      </c>
      <c r="CA29" s="490" t="s">
        <v>383</v>
      </c>
      <c r="CB29" s="490">
        <v>0.44600000000000001</v>
      </c>
      <c r="CC29" s="808" t="s">
        <v>383</v>
      </c>
      <c r="CD29" s="257"/>
      <c r="CE29" s="94"/>
      <c r="CF29" s="495"/>
      <c r="CG29" s="94"/>
      <c r="CH29" s="95"/>
      <c r="CI29" s="52"/>
    </row>
    <row r="30" spans="1:87" ht="30" customHeight="1" thickBot="1" x14ac:dyDescent="0.35">
      <c r="A30" s="60" t="str">
        <f t="shared" si="0"/>
        <v>Unitil</v>
      </c>
      <c r="B30" s="66" t="s">
        <v>383</v>
      </c>
      <c r="C30" s="66" t="s">
        <v>383</v>
      </c>
      <c r="D30" s="58" t="s">
        <v>401</v>
      </c>
      <c r="E30" s="58" t="s">
        <v>385</v>
      </c>
      <c r="F30" s="496"/>
      <c r="G30" s="496"/>
      <c r="H30" s="497"/>
      <c r="I30" s="529"/>
      <c r="J30" s="496"/>
      <c r="K30" s="834" t="s">
        <v>456</v>
      </c>
      <c r="L30" s="496"/>
      <c r="M30" s="496"/>
      <c r="N30" s="567"/>
      <c r="O30" s="530"/>
      <c r="P30" s="568"/>
      <c r="Q30" s="510"/>
      <c r="R30" s="531"/>
      <c r="S30" s="569"/>
      <c r="T30" s="569"/>
      <c r="U30" s="569"/>
      <c r="V30" s="569"/>
      <c r="W30" s="569"/>
      <c r="X30" s="569"/>
      <c r="Y30" s="569"/>
      <c r="Z30" s="569"/>
      <c r="AA30" s="569"/>
      <c r="AB30" s="569"/>
      <c r="AC30" s="569"/>
      <c r="AD30" s="569"/>
      <c r="AE30" s="569"/>
      <c r="AF30" s="569"/>
      <c r="AG30" s="569"/>
      <c r="AH30" s="569"/>
      <c r="AI30" s="569"/>
      <c r="AJ30" s="569"/>
      <c r="AK30" s="569"/>
      <c r="AL30" s="569"/>
      <c r="AM30" s="497"/>
      <c r="AN30" s="569"/>
      <c r="AO30" s="497"/>
      <c r="AP30" s="569"/>
      <c r="AQ30" s="497"/>
      <c r="AR30" s="569"/>
      <c r="AS30" s="497"/>
      <c r="AT30" s="492"/>
      <c r="AU30" s="493"/>
      <c r="AV30" s="493"/>
      <c r="AW30" s="493"/>
      <c r="AX30" s="493"/>
      <c r="AY30" s="493"/>
      <c r="AZ30" s="493"/>
      <c r="BA30" s="494"/>
      <c r="BB30" s="846"/>
      <c r="BC30" s="84" t="s">
        <v>383</v>
      </c>
      <c r="BD30" s="638">
        <f t="shared" si="5"/>
        <v>0</v>
      </c>
      <c r="BE30" s="84" t="s">
        <v>383</v>
      </c>
      <c r="BF30" s="639">
        <f t="shared" si="6"/>
        <v>0</v>
      </c>
      <c r="BG30" s="84" t="s">
        <v>383</v>
      </c>
      <c r="BH30" s="105"/>
      <c r="BI30" s="84" t="s">
        <v>383</v>
      </c>
      <c r="BJ30" s="640">
        <f t="shared" si="7"/>
        <v>0</v>
      </c>
      <c r="BK30" s="84" t="s">
        <v>383</v>
      </c>
      <c r="BL30" s="496"/>
      <c r="BM30" s="861"/>
      <c r="BN30" s="861"/>
      <c r="BO30" s="515"/>
      <c r="BP30" s="517"/>
      <c r="BQ30" s="515"/>
      <c r="BR30" s="516"/>
      <c r="BS30" s="517"/>
      <c r="BT30" s="107"/>
      <c r="BU30" s="108"/>
      <c r="BV30" s="798"/>
      <c r="BW30" s="489"/>
      <c r="BX30" s="811"/>
      <c r="BY30" s="803"/>
      <c r="BZ30" s="801"/>
      <c r="CA30" s="490"/>
      <c r="CB30" s="490"/>
      <c r="CC30" s="808"/>
      <c r="CD30" s="257"/>
      <c r="CE30" s="94"/>
      <c r="CF30" s="495"/>
      <c r="CG30" s="94"/>
      <c r="CH30" s="95"/>
      <c r="CI30" s="52"/>
    </row>
    <row r="31" spans="1:87" ht="30" customHeight="1" x14ac:dyDescent="0.3">
      <c r="A31" s="60" t="str">
        <f t="shared" si="0"/>
        <v>Unitil</v>
      </c>
      <c r="B31" s="66" t="s">
        <v>383</v>
      </c>
      <c r="C31" s="66" t="s">
        <v>383</v>
      </c>
      <c r="D31" s="58" t="s">
        <v>403</v>
      </c>
      <c r="E31" s="58" t="s">
        <v>385</v>
      </c>
      <c r="F31" s="58">
        <v>1341</v>
      </c>
      <c r="G31" s="58" t="s">
        <v>385</v>
      </c>
      <c r="H31" s="10" t="s">
        <v>387</v>
      </c>
      <c r="I31" s="14" t="s">
        <v>453</v>
      </c>
      <c r="J31" s="128" t="s">
        <v>454</v>
      </c>
      <c r="K31" s="833">
        <v>12.692</v>
      </c>
      <c r="L31" s="526">
        <v>2.7</v>
      </c>
      <c r="M31" s="58" t="s">
        <v>383</v>
      </c>
      <c r="N31" s="570">
        <v>0</v>
      </c>
      <c r="O31" s="527" t="s">
        <v>455</v>
      </c>
      <c r="P31" s="571">
        <v>3.58</v>
      </c>
      <c r="Q31" s="608" t="s">
        <v>448</v>
      </c>
      <c r="R31" s="525" t="s">
        <v>449</v>
      </c>
      <c r="S31" s="18">
        <v>0</v>
      </c>
      <c r="T31" s="16">
        <f>S31</f>
        <v>0</v>
      </c>
      <c r="U31" s="128">
        <v>0</v>
      </c>
      <c r="V31" s="16">
        <f>U31</f>
        <v>0</v>
      </c>
      <c r="W31" s="128">
        <v>0</v>
      </c>
      <c r="X31" s="16">
        <f>W31</f>
        <v>0</v>
      </c>
      <c r="Y31" s="18">
        <v>0</v>
      </c>
      <c r="Z31" s="16">
        <f>Y31</f>
        <v>0</v>
      </c>
      <c r="AA31" s="561">
        <f>IF(S31=0,0)</f>
        <v>0</v>
      </c>
      <c r="AB31" s="562"/>
      <c r="AC31" s="561">
        <f>IF(U31=0,0)</f>
        <v>0</v>
      </c>
      <c r="AD31" s="562"/>
      <c r="AE31" s="561">
        <f>IF(W31=0,0)</f>
        <v>0</v>
      </c>
      <c r="AF31" s="562"/>
      <c r="AG31" s="561">
        <f>IF(Y31=0,0)</f>
        <v>0</v>
      </c>
      <c r="AH31" s="562"/>
      <c r="AI31" s="563"/>
      <c r="AJ31" s="562"/>
      <c r="AK31" s="564"/>
      <c r="AL31" s="565"/>
      <c r="AM31" s="566"/>
      <c r="AN31" s="565"/>
      <c r="AO31" s="565"/>
      <c r="AP31" s="565"/>
      <c r="AQ31" s="565"/>
      <c r="AR31" s="565"/>
      <c r="AS31" s="565"/>
      <c r="AT31" s="492"/>
      <c r="AU31" s="493"/>
      <c r="AV31" s="493"/>
      <c r="AW31" s="493"/>
      <c r="AX31" s="493"/>
      <c r="AY31" s="493"/>
      <c r="AZ31" s="493"/>
      <c r="BA31" s="494"/>
      <c r="BB31" s="846">
        <f t="shared" si="4"/>
        <v>0</v>
      </c>
      <c r="BC31" s="84" t="s">
        <v>383</v>
      </c>
      <c r="BD31" s="638">
        <f t="shared" si="5"/>
        <v>3.58</v>
      </c>
      <c r="BE31" s="84" t="s">
        <v>383</v>
      </c>
      <c r="BF31" s="639">
        <f t="shared" si="6"/>
        <v>696.19689279131217</v>
      </c>
      <c r="BG31" s="84" t="s">
        <v>383</v>
      </c>
      <c r="BH31" s="105">
        <v>0.95</v>
      </c>
      <c r="BI31" s="84" t="s">
        <v>383</v>
      </c>
      <c r="BJ31" s="640">
        <f t="shared" si="7"/>
        <v>0</v>
      </c>
      <c r="BK31" s="84" t="s">
        <v>383</v>
      </c>
      <c r="BL31" s="58" t="s">
        <v>383</v>
      </c>
      <c r="BM31" s="860"/>
      <c r="BN31" s="860"/>
      <c r="BO31" s="511" t="s">
        <v>387</v>
      </c>
      <c r="BP31" s="603">
        <f t="shared" ref="BP31" si="38">IF(BO31="Y",J31,IF(BO31="N",0))</f>
        <v>0</v>
      </c>
      <c r="BQ31" s="511"/>
      <c r="BR31" s="514"/>
      <c r="BS31" s="513"/>
      <c r="BT31" s="107"/>
      <c r="BU31" s="108"/>
      <c r="BV31" s="798" t="s">
        <v>383</v>
      </c>
      <c r="BW31" s="804" t="str">
        <f>'9. Pre-Investment Baselines'!AW26</f>
        <v>N/A</v>
      </c>
      <c r="BX31" s="811" t="s">
        <v>383</v>
      </c>
      <c r="BY31" s="803" t="str">
        <f>'9. Pre-Investment Baselines'!AX26</f>
        <v>N/A</v>
      </c>
      <c r="BZ31" s="801" t="s">
        <v>383</v>
      </c>
      <c r="CA31" s="490" t="str">
        <f>'9. Pre-Investment Baselines'!AY26</f>
        <v>N/A</v>
      </c>
      <c r="CB31" s="490" t="s">
        <v>383</v>
      </c>
      <c r="CC31" s="808" t="str">
        <f>'9. Pre-Investment Baselines'!AZ26</f>
        <v>N/A</v>
      </c>
      <c r="CD31" s="257"/>
      <c r="CE31" s="94"/>
      <c r="CF31" s="495"/>
      <c r="CG31" s="94"/>
      <c r="CH31" s="95"/>
      <c r="CI31" s="52"/>
    </row>
    <row r="32" spans="1:87" ht="30" customHeight="1" thickBot="1" x14ac:dyDescent="0.35">
      <c r="A32" s="60" t="str">
        <f t="shared" si="0"/>
        <v>Unitil</v>
      </c>
      <c r="B32" s="66" t="s">
        <v>383</v>
      </c>
      <c r="C32" s="66" t="s">
        <v>383</v>
      </c>
      <c r="D32" s="58" t="s">
        <v>403</v>
      </c>
      <c r="E32" s="58" t="s">
        <v>385</v>
      </c>
      <c r="F32" s="496"/>
      <c r="G32" s="496"/>
      <c r="H32" s="497"/>
      <c r="I32" s="529"/>
      <c r="J32" s="496"/>
      <c r="K32" s="834" t="s">
        <v>456</v>
      </c>
      <c r="L32" s="496"/>
      <c r="M32" s="496"/>
      <c r="N32" s="567"/>
      <c r="O32" s="530"/>
      <c r="P32" s="568"/>
      <c r="Q32" s="510"/>
      <c r="R32" s="531"/>
      <c r="S32" s="569"/>
      <c r="T32" s="569"/>
      <c r="U32" s="569"/>
      <c r="V32" s="569"/>
      <c r="W32" s="569"/>
      <c r="X32" s="569"/>
      <c r="Y32" s="569"/>
      <c r="Z32" s="569"/>
      <c r="AA32" s="569"/>
      <c r="AB32" s="569"/>
      <c r="AC32" s="569"/>
      <c r="AD32" s="569"/>
      <c r="AE32" s="569"/>
      <c r="AF32" s="569"/>
      <c r="AG32" s="569"/>
      <c r="AH32" s="569"/>
      <c r="AI32" s="569"/>
      <c r="AJ32" s="569"/>
      <c r="AK32" s="569"/>
      <c r="AL32" s="569"/>
      <c r="AM32" s="497"/>
      <c r="AN32" s="569"/>
      <c r="AO32" s="497"/>
      <c r="AP32" s="569"/>
      <c r="AQ32" s="497"/>
      <c r="AR32" s="569"/>
      <c r="AS32" s="497"/>
      <c r="AT32" s="492"/>
      <c r="AU32" s="493"/>
      <c r="AV32" s="493"/>
      <c r="AW32" s="493"/>
      <c r="AX32" s="493"/>
      <c r="AY32" s="493"/>
      <c r="AZ32" s="493"/>
      <c r="BA32" s="494"/>
      <c r="BB32" s="846"/>
      <c r="BC32" s="84" t="s">
        <v>383</v>
      </c>
      <c r="BD32" s="638">
        <f t="shared" si="5"/>
        <v>0</v>
      </c>
      <c r="BE32" s="84" t="s">
        <v>383</v>
      </c>
      <c r="BF32" s="639">
        <f t="shared" si="6"/>
        <v>0</v>
      </c>
      <c r="BG32" s="84" t="s">
        <v>383</v>
      </c>
      <c r="BH32" s="105"/>
      <c r="BI32" s="84" t="s">
        <v>383</v>
      </c>
      <c r="BJ32" s="640">
        <f t="shared" si="7"/>
        <v>0</v>
      </c>
      <c r="BK32" s="84" t="s">
        <v>383</v>
      </c>
      <c r="BL32" s="496"/>
      <c r="BM32" s="861"/>
      <c r="BN32" s="861"/>
      <c r="BO32" s="515"/>
      <c r="BP32" s="517"/>
      <c r="BQ32" s="515"/>
      <c r="BR32" s="516"/>
      <c r="BS32" s="517"/>
      <c r="BT32" s="107"/>
      <c r="BU32" s="108"/>
      <c r="BV32" s="798"/>
      <c r="BW32" s="489"/>
      <c r="BX32" s="811"/>
      <c r="BY32" s="803"/>
      <c r="BZ32" s="801"/>
      <c r="CA32" s="490"/>
      <c r="CB32" s="490"/>
      <c r="CC32" s="808"/>
      <c r="CD32" s="257"/>
      <c r="CE32" s="94"/>
      <c r="CF32" s="495"/>
      <c r="CG32" s="94"/>
      <c r="CH32" s="95"/>
      <c r="CI32" s="52"/>
    </row>
    <row r="33" spans="1:87" ht="30" customHeight="1" thickBot="1" x14ac:dyDescent="0.35">
      <c r="A33" s="60" t="str">
        <f t="shared" si="0"/>
        <v>Unitil</v>
      </c>
      <c r="B33" s="66" t="s">
        <v>383</v>
      </c>
      <c r="C33" s="66" t="s">
        <v>383</v>
      </c>
      <c r="D33" s="58" t="s">
        <v>404</v>
      </c>
      <c r="E33" s="58" t="s">
        <v>385</v>
      </c>
      <c r="F33" s="58" t="s">
        <v>405</v>
      </c>
      <c r="G33" s="58" t="s">
        <v>385</v>
      </c>
      <c r="H33" s="10" t="s">
        <v>387</v>
      </c>
      <c r="I33" s="14" t="s">
        <v>458</v>
      </c>
      <c r="J33" s="128" t="s">
        <v>454</v>
      </c>
      <c r="K33" s="833">
        <v>9.3219999999999992</v>
      </c>
      <c r="L33" s="526">
        <v>12.359715405399619</v>
      </c>
      <c r="M33" s="58">
        <v>2112</v>
      </c>
      <c r="N33" s="570">
        <v>7075432.2975554727</v>
      </c>
      <c r="O33" s="527" t="s">
        <v>455</v>
      </c>
      <c r="P33" s="524">
        <v>3.2269999999999999</v>
      </c>
      <c r="Q33" s="608" t="s">
        <v>450</v>
      </c>
      <c r="R33" s="525" t="s">
        <v>449</v>
      </c>
      <c r="S33" s="18">
        <v>86</v>
      </c>
      <c r="T33" s="16">
        <f t="shared" ref="T33:V39" si="39">S33</f>
        <v>86</v>
      </c>
      <c r="U33" s="128">
        <v>2</v>
      </c>
      <c r="V33" s="16">
        <f t="shared" si="39"/>
        <v>2</v>
      </c>
      <c r="W33" s="18">
        <v>0</v>
      </c>
      <c r="X33" s="16">
        <f t="shared" ref="X33" si="40">W33</f>
        <v>0</v>
      </c>
      <c r="Y33" s="18">
        <v>0</v>
      </c>
      <c r="Z33" s="16">
        <f t="shared" ref="Z33" si="41">Y33</f>
        <v>0</v>
      </c>
      <c r="AA33" s="561">
        <v>1038</v>
      </c>
      <c r="AB33" s="562"/>
      <c r="AC33" s="561">
        <v>61</v>
      </c>
      <c r="AD33" s="562"/>
      <c r="AE33" s="561">
        <f t="shared" ref="AE33:AE41" si="42">IF(W33=0,0)</f>
        <v>0</v>
      </c>
      <c r="AF33" s="562"/>
      <c r="AG33" s="561">
        <f t="shared" ref="AG33:AG41" si="43">IF(Y33=0,0)</f>
        <v>0</v>
      </c>
      <c r="AH33" s="562"/>
      <c r="AI33" s="563"/>
      <c r="AJ33" s="562"/>
      <c r="AK33" s="564"/>
      <c r="AL33" s="565"/>
      <c r="AM33" s="566"/>
      <c r="AN33" s="565"/>
      <c r="AO33" s="565"/>
      <c r="AP33" s="565"/>
      <c r="AQ33" s="565"/>
      <c r="AR33" s="565"/>
      <c r="AS33" s="565"/>
      <c r="AT33" s="492"/>
      <c r="AU33" s="493"/>
      <c r="AV33" s="493"/>
      <c r="AW33" s="493"/>
      <c r="AX33" s="493"/>
      <c r="AY33" s="493"/>
      <c r="AZ33" s="493"/>
      <c r="BA33" s="494"/>
      <c r="BB33" s="846">
        <f t="shared" si="4"/>
        <v>7075432.2975554727</v>
      </c>
      <c r="BC33" s="84" t="s">
        <v>383</v>
      </c>
      <c r="BD33" s="638">
        <f t="shared" si="5"/>
        <v>3.2269999999999999</v>
      </c>
      <c r="BE33" s="84" t="s">
        <v>383</v>
      </c>
      <c r="BF33" s="639">
        <f t="shared" si="6"/>
        <v>627.549545541219</v>
      </c>
      <c r="BG33" s="84" t="s">
        <v>383</v>
      </c>
      <c r="BH33" s="105">
        <v>0.95</v>
      </c>
      <c r="BI33" s="84" t="s">
        <v>383</v>
      </c>
      <c r="BJ33" s="640">
        <f t="shared" si="7"/>
        <v>1322.3982964131178</v>
      </c>
      <c r="BK33" s="84" t="s">
        <v>383</v>
      </c>
      <c r="BL33" s="58">
        <v>4</v>
      </c>
      <c r="BM33" s="860">
        <v>0</v>
      </c>
      <c r="BN33" s="860">
        <f t="shared" si="8"/>
        <v>-4</v>
      </c>
      <c r="BO33" s="511" t="s">
        <v>387</v>
      </c>
      <c r="BP33" s="513">
        <f t="shared" ref="BP33:BP41" si="44">IF(BO33="Y",M33,IF(BO33="N",0))</f>
        <v>0</v>
      </c>
      <c r="BQ33" s="511"/>
      <c r="BR33" s="514"/>
      <c r="BS33" s="513"/>
      <c r="BT33" s="107"/>
      <c r="BU33" s="108"/>
      <c r="BV33" s="798">
        <v>289.74</v>
      </c>
      <c r="BW33" s="804">
        <f>'9. Pre-Investment Baselines'!AW28-BV33</f>
        <v>-159.88330000000002</v>
      </c>
      <c r="BX33" s="811">
        <v>63.55</v>
      </c>
      <c r="BY33" s="803">
        <f>'9. Pre-Investment Baselines'!AX28-BX33</f>
        <v>-7.8333299999999966</v>
      </c>
      <c r="BZ33" s="801">
        <v>1.175</v>
      </c>
      <c r="CA33" s="806">
        <f>'9. Pre-Investment Baselines'!AY28-BZ33</f>
        <v>0.42933329999999992</v>
      </c>
      <c r="CB33" s="490">
        <v>0.77</v>
      </c>
      <c r="CC33" s="808">
        <f>'9. Pre-Investment Baselines'!AZ28-CB33</f>
        <v>0.1513333</v>
      </c>
      <c r="CD33" s="257"/>
      <c r="CE33" s="94"/>
      <c r="CF33" s="495"/>
      <c r="CG33" s="94"/>
      <c r="CH33" s="95"/>
      <c r="CI33" s="52"/>
    </row>
    <row r="34" spans="1:87" ht="30" customHeight="1" thickBot="1" x14ac:dyDescent="0.35">
      <c r="A34" s="60" t="str">
        <f t="shared" si="0"/>
        <v>Unitil</v>
      </c>
      <c r="B34" s="66" t="s">
        <v>383</v>
      </c>
      <c r="C34" s="66" t="s">
        <v>383</v>
      </c>
      <c r="D34" s="58" t="s">
        <v>404</v>
      </c>
      <c r="E34" s="58" t="s">
        <v>385</v>
      </c>
      <c r="F34" s="58" t="s">
        <v>406</v>
      </c>
      <c r="G34" s="58" t="s">
        <v>385</v>
      </c>
      <c r="H34" s="10" t="s">
        <v>387</v>
      </c>
      <c r="I34" s="14" t="s">
        <v>458</v>
      </c>
      <c r="J34" s="128" t="s">
        <v>454</v>
      </c>
      <c r="K34" s="833">
        <v>3.5853451716675759</v>
      </c>
      <c r="L34" s="526">
        <v>1.1867738182594698</v>
      </c>
      <c r="M34" s="58" t="s">
        <v>413</v>
      </c>
      <c r="N34" s="570">
        <v>0</v>
      </c>
      <c r="O34" s="527" t="s">
        <v>455</v>
      </c>
      <c r="P34" s="524">
        <v>0.59</v>
      </c>
      <c r="Q34" s="608" t="s">
        <v>450</v>
      </c>
      <c r="R34" s="525" t="s">
        <v>449</v>
      </c>
      <c r="S34" s="18">
        <v>0</v>
      </c>
      <c r="T34" s="16">
        <f t="shared" si="39"/>
        <v>0</v>
      </c>
      <c r="U34" s="18">
        <v>0</v>
      </c>
      <c r="V34" s="16">
        <f t="shared" si="39"/>
        <v>0</v>
      </c>
      <c r="W34" s="18">
        <v>0</v>
      </c>
      <c r="X34" s="16">
        <f t="shared" ref="X34" si="45">W34</f>
        <v>0</v>
      </c>
      <c r="Y34" s="18">
        <v>0</v>
      </c>
      <c r="Z34" s="16">
        <f t="shared" ref="Z34" si="46">Y34</f>
        <v>0</v>
      </c>
      <c r="AA34" s="561">
        <f t="shared" ref="AA34:AA41" si="47">IF(S34=0,0)</f>
        <v>0</v>
      </c>
      <c r="AB34" s="562"/>
      <c r="AC34" s="561">
        <f t="shared" ref="AC34:AC41" si="48">IF(U34=0,0)</f>
        <v>0</v>
      </c>
      <c r="AD34" s="562"/>
      <c r="AE34" s="561">
        <f t="shared" si="42"/>
        <v>0</v>
      </c>
      <c r="AF34" s="562"/>
      <c r="AG34" s="561">
        <f t="shared" si="43"/>
        <v>0</v>
      </c>
      <c r="AH34" s="562"/>
      <c r="AI34" s="563"/>
      <c r="AJ34" s="562"/>
      <c r="AK34" s="564"/>
      <c r="AL34" s="565"/>
      <c r="AM34" s="566"/>
      <c r="AN34" s="565"/>
      <c r="AO34" s="565"/>
      <c r="AP34" s="565"/>
      <c r="AQ34" s="565"/>
      <c r="AR34" s="565"/>
      <c r="AS34" s="565"/>
      <c r="AT34" s="492"/>
      <c r="AU34" s="493"/>
      <c r="AV34" s="493"/>
      <c r="AW34" s="493"/>
      <c r="AX34" s="493"/>
      <c r="AY34" s="493"/>
      <c r="AZ34" s="493"/>
      <c r="BA34" s="494"/>
      <c r="BB34" s="846"/>
      <c r="BC34" s="84" t="s">
        <v>383</v>
      </c>
      <c r="BD34" s="638">
        <f t="shared" si="5"/>
        <v>0.59</v>
      </c>
      <c r="BE34" s="84" t="s">
        <v>383</v>
      </c>
      <c r="BF34" s="639">
        <f t="shared" si="6"/>
        <v>114.73635942650115</v>
      </c>
      <c r="BG34" s="84" t="s">
        <v>383</v>
      </c>
      <c r="BH34" s="105">
        <v>0.95</v>
      </c>
      <c r="BI34" s="84" t="s">
        <v>383</v>
      </c>
      <c r="BJ34" s="640">
        <f t="shared" si="7"/>
        <v>0</v>
      </c>
      <c r="BK34" s="84" t="s">
        <v>383</v>
      </c>
      <c r="BL34" s="58">
        <v>0</v>
      </c>
      <c r="BM34" s="860">
        <v>1.6666666666666667</v>
      </c>
      <c r="BN34" s="860">
        <f t="shared" si="8"/>
        <v>1.6666666666666667</v>
      </c>
      <c r="BO34" s="511" t="s">
        <v>387</v>
      </c>
      <c r="BP34" s="513">
        <f t="shared" si="44"/>
        <v>0</v>
      </c>
      <c r="BQ34" s="511"/>
      <c r="BR34" s="514"/>
      <c r="BS34" s="513"/>
      <c r="BT34" s="107"/>
      <c r="BU34" s="108"/>
      <c r="BV34" s="798" t="s">
        <v>383</v>
      </c>
      <c r="BW34" s="804" t="str">
        <f>'9. Pre-Investment Baselines'!AW29</f>
        <v>N/A</v>
      </c>
      <c r="BX34" s="811" t="s">
        <v>383</v>
      </c>
      <c r="BY34" s="803" t="str">
        <f>'9. Pre-Investment Baselines'!AX29</f>
        <v>N/A</v>
      </c>
      <c r="BZ34" s="801" t="s">
        <v>383</v>
      </c>
      <c r="CA34" s="490" t="str">
        <f>'9. Pre-Investment Baselines'!AY29</f>
        <v>N/A</v>
      </c>
      <c r="CB34" s="490" t="s">
        <v>383</v>
      </c>
      <c r="CC34" s="808" t="str">
        <f>'9. Pre-Investment Baselines'!AZ29</f>
        <v>N/A</v>
      </c>
      <c r="CD34" s="257"/>
      <c r="CE34" s="94"/>
      <c r="CF34" s="495"/>
      <c r="CG34" s="94"/>
      <c r="CH34" s="95"/>
      <c r="CI34" s="52"/>
    </row>
    <row r="35" spans="1:87" ht="30" customHeight="1" thickBot="1" x14ac:dyDescent="0.35">
      <c r="A35" s="60" t="str">
        <f t="shared" si="0"/>
        <v>Unitil</v>
      </c>
      <c r="B35" s="66" t="s">
        <v>383</v>
      </c>
      <c r="C35" s="66" t="s">
        <v>383</v>
      </c>
      <c r="D35" s="58" t="s">
        <v>404</v>
      </c>
      <c r="E35" s="58" t="s">
        <v>385</v>
      </c>
      <c r="F35" s="58" t="s">
        <v>407</v>
      </c>
      <c r="G35" s="58" t="s">
        <v>385</v>
      </c>
      <c r="H35" s="10" t="s">
        <v>387</v>
      </c>
      <c r="I35" s="14" t="s">
        <v>458</v>
      </c>
      <c r="J35" s="128" t="s">
        <v>454</v>
      </c>
      <c r="K35" s="833">
        <v>3.7048566773898282</v>
      </c>
      <c r="L35" s="526">
        <v>0.79542410053977275</v>
      </c>
      <c r="M35" s="58">
        <v>20</v>
      </c>
      <c r="N35" s="570">
        <v>1159337.0282951249</v>
      </c>
      <c r="O35" s="527" t="s">
        <v>455</v>
      </c>
      <c r="P35" s="524">
        <v>0.77300000000000002</v>
      </c>
      <c r="Q35" s="608" t="s">
        <v>450</v>
      </c>
      <c r="R35" s="525" t="s">
        <v>449</v>
      </c>
      <c r="S35" s="18">
        <v>0</v>
      </c>
      <c r="T35" s="16">
        <f t="shared" si="39"/>
        <v>0</v>
      </c>
      <c r="U35" s="18">
        <v>0</v>
      </c>
      <c r="V35" s="16">
        <f t="shared" si="39"/>
        <v>0</v>
      </c>
      <c r="W35" s="18">
        <v>0</v>
      </c>
      <c r="X35" s="16">
        <f t="shared" ref="X35" si="49">W35</f>
        <v>0</v>
      </c>
      <c r="Y35" s="18">
        <v>0</v>
      </c>
      <c r="Z35" s="16">
        <f t="shared" ref="Z35" si="50">Y35</f>
        <v>0</v>
      </c>
      <c r="AA35" s="561">
        <f t="shared" si="47"/>
        <v>0</v>
      </c>
      <c r="AB35" s="562"/>
      <c r="AC35" s="561">
        <f t="shared" si="48"/>
        <v>0</v>
      </c>
      <c r="AD35" s="562"/>
      <c r="AE35" s="561">
        <f t="shared" si="42"/>
        <v>0</v>
      </c>
      <c r="AF35" s="562"/>
      <c r="AG35" s="561">
        <f t="shared" si="43"/>
        <v>0</v>
      </c>
      <c r="AH35" s="562"/>
      <c r="AI35" s="563"/>
      <c r="AJ35" s="562"/>
      <c r="AK35" s="564"/>
      <c r="AL35" s="565"/>
      <c r="AM35" s="566"/>
      <c r="AN35" s="565"/>
      <c r="AO35" s="565"/>
      <c r="AP35" s="565"/>
      <c r="AQ35" s="565"/>
      <c r="AR35" s="565"/>
      <c r="AS35" s="565"/>
      <c r="AT35" s="492"/>
      <c r="AU35" s="493"/>
      <c r="AV35" s="493"/>
      <c r="AW35" s="493"/>
      <c r="AX35" s="493"/>
      <c r="AY35" s="493"/>
      <c r="AZ35" s="493"/>
      <c r="BA35" s="494"/>
      <c r="BB35" s="846">
        <f t="shared" si="4"/>
        <v>1159337.0282951249</v>
      </c>
      <c r="BC35" s="84" t="s">
        <v>383</v>
      </c>
      <c r="BD35" s="638">
        <f t="shared" si="5"/>
        <v>0.77300000000000002</v>
      </c>
      <c r="BE35" s="84" t="s">
        <v>383</v>
      </c>
      <c r="BF35" s="639">
        <f t="shared" si="6"/>
        <v>150.3240776892973</v>
      </c>
      <c r="BG35" s="84" t="s">
        <v>383</v>
      </c>
      <c r="BH35" s="105">
        <v>0.95</v>
      </c>
      <c r="BI35" s="84" t="s">
        <v>383</v>
      </c>
      <c r="BJ35" s="640">
        <f t="shared" si="7"/>
        <v>216.68009058835884</v>
      </c>
      <c r="BK35" s="84" t="s">
        <v>383</v>
      </c>
      <c r="BL35" s="58">
        <v>0</v>
      </c>
      <c r="BM35" s="860">
        <v>0</v>
      </c>
      <c r="BN35" s="860">
        <f t="shared" si="8"/>
        <v>0</v>
      </c>
      <c r="BO35" s="511" t="s">
        <v>387</v>
      </c>
      <c r="BP35" s="513">
        <f t="shared" si="44"/>
        <v>0</v>
      </c>
      <c r="BQ35" s="511"/>
      <c r="BR35" s="514"/>
      <c r="BS35" s="513"/>
      <c r="BT35" s="107"/>
      <c r="BU35" s="108"/>
      <c r="BV35" s="798">
        <v>0</v>
      </c>
      <c r="BW35" s="804">
        <f>'9. Pre-Investment Baselines'!AW30-BV35</f>
        <v>17.8</v>
      </c>
      <c r="BX35" s="811">
        <v>0</v>
      </c>
      <c r="BY35" s="803">
        <f>'9. Pre-Investment Baselines'!AX30-BX35</f>
        <v>17.8</v>
      </c>
      <c r="BZ35" s="801">
        <v>0</v>
      </c>
      <c r="CA35" s="806">
        <f>'9. Pre-Investment Baselines'!AY30-BZ35</f>
        <v>0.3333333</v>
      </c>
      <c r="CB35" s="490">
        <v>0</v>
      </c>
      <c r="CC35" s="808">
        <f>'9. Pre-Investment Baselines'!AZ30-CB35</f>
        <v>0.3333333</v>
      </c>
      <c r="CD35" s="257"/>
      <c r="CE35" s="94"/>
      <c r="CF35" s="495"/>
      <c r="CG35" s="94"/>
      <c r="CH35" s="95"/>
      <c r="CI35" s="52"/>
    </row>
    <row r="36" spans="1:87" ht="30" customHeight="1" thickBot="1" x14ac:dyDescent="0.35">
      <c r="A36" s="60" t="str">
        <f t="shared" si="0"/>
        <v>Unitil</v>
      </c>
      <c r="B36" s="66" t="s">
        <v>383</v>
      </c>
      <c r="C36" s="66" t="s">
        <v>383</v>
      </c>
      <c r="D36" s="58" t="s">
        <v>404</v>
      </c>
      <c r="E36" s="58" t="s">
        <v>385</v>
      </c>
      <c r="F36" s="58" t="s">
        <v>408</v>
      </c>
      <c r="G36" s="58" t="s">
        <v>385</v>
      </c>
      <c r="H36" s="10" t="s">
        <v>387</v>
      </c>
      <c r="I36" s="14" t="s">
        <v>458</v>
      </c>
      <c r="J36" s="128" t="s">
        <v>454</v>
      </c>
      <c r="K36" s="833">
        <v>8.5329999999999995</v>
      </c>
      <c r="L36" s="526">
        <v>1.4219966740435603</v>
      </c>
      <c r="M36" s="58" t="s">
        <v>413</v>
      </c>
      <c r="N36" s="570">
        <v>0</v>
      </c>
      <c r="O36" s="527" t="s">
        <v>455</v>
      </c>
      <c r="P36" s="524">
        <v>0.52600000000000002</v>
      </c>
      <c r="Q36" s="608" t="s">
        <v>450</v>
      </c>
      <c r="R36" s="525" t="s">
        <v>449</v>
      </c>
      <c r="S36" s="18">
        <v>0</v>
      </c>
      <c r="T36" s="16">
        <f t="shared" si="39"/>
        <v>0</v>
      </c>
      <c r="U36" s="18">
        <v>0</v>
      </c>
      <c r="V36" s="16">
        <f t="shared" si="39"/>
        <v>0</v>
      </c>
      <c r="W36" s="18">
        <v>0</v>
      </c>
      <c r="X36" s="16">
        <f t="shared" ref="X36" si="51">W36</f>
        <v>0</v>
      </c>
      <c r="Y36" s="18">
        <v>0</v>
      </c>
      <c r="Z36" s="16">
        <f t="shared" ref="Z36" si="52">Y36</f>
        <v>0</v>
      </c>
      <c r="AA36" s="561">
        <f t="shared" si="47"/>
        <v>0</v>
      </c>
      <c r="AB36" s="562"/>
      <c r="AC36" s="561">
        <f t="shared" si="48"/>
        <v>0</v>
      </c>
      <c r="AD36" s="562"/>
      <c r="AE36" s="561">
        <f t="shared" si="42"/>
        <v>0</v>
      </c>
      <c r="AF36" s="562"/>
      <c r="AG36" s="561">
        <f t="shared" si="43"/>
        <v>0</v>
      </c>
      <c r="AH36" s="562"/>
      <c r="AI36" s="563"/>
      <c r="AJ36" s="562"/>
      <c r="AK36" s="564"/>
      <c r="AL36" s="565"/>
      <c r="AM36" s="566"/>
      <c r="AN36" s="565"/>
      <c r="AO36" s="565"/>
      <c r="AP36" s="565"/>
      <c r="AQ36" s="565"/>
      <c r="AR36" s="565"/>
      <c r="AS36" s="565"/>
      <c r="AT36" s="492"/>
      <c r="AU36" s="493"/>
      <c r="AV36" s="493"/>
      <c r="AW36" s="493"/>
      <c r="AX36" s="493"/>
      <c r="AY36" s="493"/>
      <c r="AZ36" s="493"/>
      <c r="BA36" s="494"/>
      <c r="BB36" s="846"/>
      <c r="BC36" s="84" t="s">
        <v>383</v>
      </c>
      <c r="BD36" s="638">
        <f t="shared" si="5"/>
        <v>0.52600000000000002</v>
      </c>
      <c r="BE36" s="84" t="s">
        <v>383</v>
      </c>
      <c r="BF36" s="639">
        <f t="shared" si="6"/>
        <v>102.29038145481292</v>
      </c>
      <c r="BG36" s="84" t="s">
        <v>383</v>
      </c>
      <c r="BH36" s="105">
        <v>0.95</v>
      </c>
      <c r="BI36" s="84" t="s">
        <v>383</v>
      </c>
      <c r="BJ36" s="640">
        <f t="shared" si="7"/>
        <v>0</v>
      </c>
      <c r="BK36" s="84" t="s">
        <v>383</v>
      </c>
      <c r="BL36" s="58">
        <v>0</v>
      </c>
      <c r="BM36" s="860">
        <v>0</v>
      </c>
      <c r="BN36" s="860">
        <f t="shared" si="8"/>
        <v>0</v>
      </c>
      <c r="BO36" s="511" t="s">
        <v>387</v>
      </c>
      <c r="BP36" s="513">
        <f t="shared" si="44"/>
        <v>0</v>
      </c>
      <c r="BQ36" s="511"/>
      <c r="BR36" s="514"/>
      <c r="BS36" s="513"/>
      <c r="BT36" s="107"/>
      <c r="BU36" s="108"/>
      <c r="BV36" s="798" t="s">
        <v>383</v>
      </c>
      <c r="BW36" s="804" t="str">
        <f>'9. Pre-Investment Baselines'!AW31</f>
        <v>N/A</v>
      </c>
      <c r="BX36" s="811" t="s">
        <v>383</v>
      </c>
      <c r="BY36" s="803" t="str">
        <f>'9. Pre-Investment Baselines'!AX31</f>
        <v>N/A</v>
      </c>
      <c r="BZ36" s="801" t="s">
        <v>383</v>
      </c>
      <c r="CA36" s="490" t="str">
        <f>'9. Pre-Investment Baselines'!AY31</f>
        <v>N/A</v>
      </c>
      <c r="CB36" s="490" t="s">
        <v>383</v>
      </c>
      <c r="CC36" s="808" t="str">
        <f>'9. Pre-Investment Baselines'!AZ31</f>
        <v>N/A</v>
      </c>
      <c r="CD36" s="257"/>
      <c r="CE36" s="94"/>
      <c r="CF36" s="495"/>
      <c r="CG36" s="94"/>
      <c r="CH36" s="95"/>
      <c r="CI36" s="52"/>
    </row>
    <row r="37" spans="1:87" ht="30" customHeight="1" thickBot="1" x14ac:dyDescent="0.35">
      <c r="A37" s="60" t="str">
        <f t="shared" si="0"/>
        <v>Unitil</v>
      </c>
      <c r="B37" s="66" t="s">
        <v>383</v>
      </c>
      <c r="C37" s="66" t="s">
        <v>383</v>
      </c>
      <c r="D37" s="58" t="s">
        <v>404</v>
      </c>
      <c r="E37" s="58" t="s">
        <v>385</v>
      </c>
      <c r="F37" s="58" t="s">
        <v>409</v>
      </c>
      <c r="G37" s="58" t="s">
        <v>385</v>
      </c>
      <c r="H37" s="10" t="s">
        <v>387</v>
      </c>
      <c r="I37" s="14" t="s">
        <v>458</v>
      </c>
      <c r="J37" s="128" t="s">
        <v>454</v>
      </c>
      <c r="K37" s="833">
        <v>9.3219999999999992</v>
      </c>
      <c r="L37" s="526">
        <v>1.7916746093257578</v>
      </c>
      <c r="M37" s="58" t="s">
        <v>383</v>
      </c>
      <c r="N37" s="570">
        <v>0</v>
      </c>
      <c r="O37" s="527" t="s">
        <v>455</v>
      </c>
      <c r="P37" s="524">
        <v>1.673</v>
      </c>
      <c r="Q37" s="608" t="s">
        <v>450</v>
      </c>
      <c r="R37" s="525" t="s">
        <v>449</v>
      </c>
      <c r="S37" s="18">
        <v>0</v>
      </c>
      <c r="T37" s="16">
        <f t="shared" si="39"/>
        <v>0</v>
      </c>
      <c r="U37" s="18">
        <v>0</v>
      </c>
      <c r="V37" s="16">
        <f t="shared" si="39"/>
        <v>0</v>
      </c>
      <c r="W37" s="18">
        <v>0</v>
      </c>
      <c r="X37" s="16">
        <f t="shared" ref="X37" si="53">W37</f>
        <v>0</v>
      </c>
      <c r="Y37" s="18">
        <v>0</v>
      </c>
      <c r="Z37" s="16">
        <f t="shared" ref="Z37" si="54">Y37</f>
        <v>0</v>
      </c>
      <c r="AA37" s="561">
        <f t="shared" si="47"/>
        <v>0</v>
      </c>
      <c r="AB37" s="562"/>
      <c r="AC37" s="561">
        <f t="shared" si="48"/>
        <v>0</v>
      </c>
      <c r="AD37" s="562"/>
      <c r="AE37" s="561">
        <f t="shared" si="42"/>
        <v>0</v>
      </c>
      <c r="AF37" s="562"/>
      <c r="AG37" s="561">
        <f t="shared" si="43"/>
        <v>0</v>
      </c>
      <c r="AH37" s="562"/>
      <c r="AI37" s="563"/>
      <c r="AJ37" s="562"/>
      <c r="AK37" s="564"/>
      <c r="AL37" s="565"/>
      <c r="AM37" s="566"/>
      <c r="AN37" s="565"/>
      <c r="AO37" s="565"/>
      <c r="AP37" s="565"/>
      <c r="AQ37" s="565"/>
      <c r="AR37" s="565"/>
      <c r="AS37" s="565"/>
      <c r="AT37" s="492"/>
      <c r="AU37" s="493"/>
      <c r="AV37" s="493"/>
      <c r="AW37" s="493"/>
      <c r="AX37" s="493"/>
      <c r="AY37" s="493"/>
      <c r="AZ37" s="493"/>
      <c r="BA37" s="494"/>
      <c r="BB37" s="846"/>
      <c r="BC37" s="84" t="s">
        <v>383</v>
      </c>
      <c r="BD37" s="638">
        <f t="shared" si="5"/>
        <v>1.673</v>
      </c>
      <c r="BE37" s="84" t="s">
        <v>383</v>
      </c>
      <c r="BF37" s="639">
        <f t="shared" si="6"/>
        <v>325.34564291616346</v>
      </c>
      <c r="BG37" s="84" t="s">
        <v>383</v>
      </c>
      <c r="BH37" s="105">
        <v>0.95</v>
      </c>
      <c r="BI37" s="84" t="s">
        <v>383</v>
      </c>
      <c r="BJ37" s="640">
        <f t="shared" si="7"/>
        <v>0</v>
      </c>
      <c r="BK37" s="84" t="s">
        <v>383</v>
      </c>
      <c r="BL37" s="58">
        <v>0</v>
      </c>
      <c r="BM37" s="860">
        <v>0</v>
      </c>
      <c r="BN37" s="860">
        <f t="shared" si="8"/>
        <v>0</v>
      </c>
      <c r="BO37" s="511" t="s">
        <v>387</v>
      </c>
      <c r="BP37" s="513">
        <f t="shared" si="44"/>
        <v>0</v>
      </c>
      <c r="BQ37" s="511"/>
      <c r="BR37" s="514"/>
      <c r="BS37" s="513"/>
      <c r="BT37" s="107"/>
      <c r="BU37" s="108"/>
      <c r="BV37" s="798">
        <v>0</v>
      </c>
      <c r="BW37" s="804">
        <f>'9. Pre-Investment Baselines'!AW32-BV37</f>
        <v>0</v>
      </c>
      <c r="BX37" s="811">
        <v>0</v>
      </c>
      <c r="BY37" s="803">
        <f>'9. Pre-Investment Baselines'!AX32-BX37</f>
        <v>0</v>
      </c>
      <c r="BZ37" s="801">
        <v>0</v>
      </c>
      <c r="CA37" s="806">
        <f>'9. Pre-Investment Baselines'!AY32-BZ37</f>
        <v>0</v>
      </c>
      <c r="CB37" s="490">
        <v>0</v>
      </c>
      <c r="CC37" s="808">
        <f>'9. Pre-Investment Baselines'!AZ32-CB37</f>
        <v>0</v>
      </c>
      <c r="CD37" s="257"/>
      <c r="CE37" s="94"/>
      <c r="CF37" s="495"/>
      <c r="CG37" s="94"/>
      <c r="CH37" s="95"/>
      <c r="CI37" s="52"/>
    </row>
    <row r="38" spans="1:87" ht="30" customHeight="1" thickBot="1" x14ac:dyDescent="0.35">
      <c r="A38" s="60" t="str">
        <f t="shared" si="0"/>
        <v>Unitil</v>
      </c>
      <c r="B38" s="66" t="s">
        <v>383</v>
      </c>
      <c r="C38" s="66" t="s">
        <v>383</v>
      </c>
      <c r="D38" s="58" t="s">
        <v>404</v>
      </c>
      <c r="E38" s="58" t="s">
        <v>385</v>
      </c>
      <c r="F38" s="58" t="s">
        <v>410</v>
      </c>
      <c r="G38" s="58" t="s">
        <v>385</v>
      </c>
      <c r="H38" s="10" t="s">
        <v>387</v>
      </c>
      <c r="I38" s="14" t="s">
        <v>458</v>
      </c>
      <c r="J38" s="128" t="s">
        <v>454</v>
      </c>
      <c r="K38" s="833">
        <v>8.5329999999999995</v>
      </c>
      <c r="L38" s="526">
        <v>1.2629094122821971</v>
      </c>
      <c r="M38" s="58" t="s">
        <v>413</v>
      </c>
      <c r="N38" s="570">
        <v>0</v>
      </c>
      <c r="O38" s="527" t="s">
        <v>455</v>
      </c>
      <c r="P38" s="524">
        <v>1.57</v>
      </c>
      <c r="Q38" s="608" t="s">
        <v>450</v>
      </c>
      <c r="R38" s="525" t="s">
        <v>449</v>
      </c>
      <c r="S38" s="18">
        <v>0</v>
      </c>
      <c r="T38" s="16">
        <f t="shared" si="39"/>
        <v>0</v>
      </c>
      <c r="U38" s="18">
        <v>0</v>
      </c>
      <c r="V38" s="16">
        <f t="shared" si="39"/>
        <v>0</v>
      </c>
      <c r="W38" s="18">
        <v>0</v>
      </c>
      <c r="X38" s="16">
        <f t="shared" ref="X38:X39" si="55">W38</f>
        <v>0</v>
      </c>
      <c r="Y38" s="18">
        <v>0</v>
      </c>
      <c r="Z38" s="16">
        <f t="shared" ref="Z38:Z39" si="56">Y38</f>
        <v>0</v>
      </c>
      <c r="AA38" s="561">
        <f t="shared" si="47"/>
        <v>0</v>
      </c>
      <c r="AB38" s="562"/>
      <c r="AC38" s="561">
        <f t="shared" si="48"/>
        <v>0</v>
      </c>
      <c r="AD38" s="562"/>
      <c r="AE38" s="561">
        <f t="shared" si="42"/>
        <v>0</v>
      </c>
      <c r="AF38" s="562"/>
      <c r="AG38" s="561">
        <f t="shared" si="43"/>
        <v>0</v>
      </c>
      <c r="AH38" s="562"/>
      <c r="AI38" s="563"/>
      <c r="AJ38" s="562"/>
      <c r="AK38" s="564"/>
      <c r="AL38" s="565"/>
      <c r="AM38" s="566"/>
      <c r="AN38" s="565"/>
      <c r="AO38" s="565"/>
      <c r="AP38" s="565"/>
      <c r="AQ38" s="565"/>
      <c r="AR38" s="565"/>
      <c r="AS38" s="565"/>
      <c r="AT38" s="492"/>
      <c r="AU38" s="493"/>
      <c r="AV38" s="493"/>
      <c r="AW38" s="493"/>
      <c r="AX38" s="493"/>
      <c r="AY38" s="493"/>
      <c r="AZ38" s="493"/>
      <c r="BA38" s="494"/>
      <c r="BB38" s="846"/>
      <c r="BC38" s="84" t="s">
        <v>383</v>
      </c>
      <c r="BD38" s="638">
        <f t="shared" si="5"/>
        <v>1.57</v>
      </c>
      <c r="BE38" s="84" t="s">
        <v>383</v>
      </c>
      <c r="BF38" s="639">
        <f t="shared" si="6"/>
        <v>305.31539711797768</v>
      </c>
      <c r="BG38" s="84" t="s">
        <v>383</v>
      </c>
      <c r="BH38" s="105">
        <v>0.95</v>
      </c>
      <c r="BI38" s="84" t="s">
        <v>383</v>
      </c>
      <c r="BJ38" s="640">
        <f t="shared" si="7"/>
        <v>0</v>
      </c>
      <c r="BK38" s="84" t="s">
        <v>383</v>
      </c>
      <c r="BL38" s="58">
        <v>0</v>
      </c>
      <c r="BM38" s="860">
        <v>0</v>
      </c>
      <c r="BN38" s="860">
        <f t="shared" si="8"/>
        <v>0</v>
      </c>
      <c r="BO38" s="511" t="s">
        <v>387</v>
      </c>
      <c r="BP38" s="513">
        <f t="shared" si="44"/>
        <v>0</v>
      </c>
      <c r="BQ38" s="511"/>
      <c r="BR38" s="514"/>
      <c r="BS38" s="513"/>
      <c r="BT38" s="107"/>
      <c r="BU38" s="108"/>
      <c r="BV38" s="798" t="s">
        <v>383</v>
      </c>
      <c r="BW38" s="804" t="str">
        <f>'9. Pre-Investment Baselines'!AW33</f>
        <v>N/A</v>
      </c>
      <c r="BX38" s="811" t="s">
        <v>383</v>
      </c>
      <c r="BY38" s="803" t="str">
        <f>'9. Pre-Investment Baselines'!AX33</f>
        <v>N/A</v>
      </c>
      <c r="BZ38" s="801" t="s">
        <v>383</v>
      </c>
      <c r="CA38" s="490" t="str">
        <f>'9. Pre-Investment Baselines'!AY33</f>
        <v>N/A</v>
      </c>
      <c r="CB38" s="490" t="s">
        <v>383</v>
      </c>
      <c r="CC38" s="808" t="str">
        <f>'9. Pre-Investment Baselines'!AZ33</f>
        <v>N/A</v>
      </c>
      <c r="CD38" s="257"/>
      <c r="CE38" s="94"/>
      <c r="CF38" s="495"/>
      <c r="CG38" s="94"/>
      <c r="CH38" s="95"/>
      <c r="CI38" s="52"/>
    </row>
    <row r="39" spans="1:87" ht="30" customHeight="1" thickBot="1" x14ac:dyDescent="0.35">
      <c r="A39" s="60" t="str">
        <f t="shared" si="0"/>
        <v>Unitil</v>
      </c>
      <c r="B39" s="66" t="s">
        <v>383</v>
      </c>
      <c r="C39" s="66" t="s">
        <v>383</v>
      </c>
      <c r="D39" s="58" t="s">
        <v>404</v>
      </c>
      <c r="E39" s="58" t="s">
        <v>385</v>
      </c>
      <c r="F39" s="58" t="s">
        <v>411</v>
      </c>
      <c r="G39" s="58" t="s">
        <v>385</v>
      </c>
      <c r="H39" s="10" t="s">
        <v>387</v>
      </c>
      <c r="I39" s="14" t="s">
        <v>458</v>
      </c>
      <c r="J39" s="128" t="s">
        <v>454</v>
      </c>
      <c r="K39" s="571">
        <v>2.8679999999999999</v>
      </c>
      <c r="L39" s="526">
        <v>0.25</v>
      </c>
      <c r="M39" s="533" t="s">
        <v>383</v>
      </c>
      <c r="N39" s="570">
        <v>0</v>
      </c>
      <c r="O39" s="527" t="s">
        <v>455</v>
      </c>
      <c r="P39" s="524">
        <v>0</v>
      </c>
      <c r="Q39" s="608" t="s">
        <v>450</v>
      </c>
      <c r="R39" s="525" t="s">
        <v>449</v>
      </c>
      <c r="S39" s="18">
        <v>1</v>
      </c>
      <c r="T39" s="16">
        <v>0</v>
      </c>
      <c r="U39" s="18">
        <v>0</v>
      </c>
      <c r="V39" s="16">
        <f t="shared" si="39"/>
        <v>0</v>
      </c>
      <c r="W39" s="18">
        <v>0</v>
      </c>
      <c r="X39" s="16">
        <f t="shared" si="55"/>
        <v>0</v>
      </c>
      <c r="Y39" s="18">
        <v>0</v>
      </c>
      <c r="Z39" s="16">
        <f t="shared" si="56"/>
        <v>0</v>
      </c>
      <c r="AA39" s="561">
        <v>1000</v>
      </c>
      <c r="AB39" s="562"/>
      <c r="AC39" s="561">
        <f t="shared" si="48"/>
        <v>0</v>
      </c>
      <c r="AD39" s="562"/>
      <c r="AE39" s="561">
        <f t="shared" si="42"/>
        <v>0</v>
      </c>
      <c r="AF39" s="562"/>
      <c r="AG39" s="561">
        <f t="shared" si="43"/>
        <v>0</v>
      </c>
      <c r="AH39" s="562"/>
      <c r="AI39" s="563"/>
      <c r="AJ39" s="562"/>
      <c r="AK39" s="564"/>
      <c r="AL39" s="565"/>
      <c r="AM39" s="566"/>
      <c r="AN39" s="565"/>
      <c r="AO39" s="565"/>
      <c r="AP39" s="565"/>
      <c r="AQ39" s="565"/>
      <c r="AR39" s="565"/>
      <c r="AS39" s="565"/>
      <c r="AT39" s="492"/>
      <c r="AU39" s="493"/>
      <c r="AV39" s="493"/>
      <c r="AW39" s="493"/>
      <c r="AX39" s="493"/>
      <c r="AY39" s="493"/>
      <c r="AZ39" s="493"/>
      <c r="BA39" s="494"/>
      <c r="BB39" s="846"/>
      <c r="BC39" s="84" t="s">
        <v>383</v>
      </c>
      <c r="BD39" s="638">
        <f t="shared" si="5"/>
        <v>0</v>
      </c>
      <c r="BE39" s="84" t="s">
        <v>383</v>
      </c>
      <c r="BF39" s="639">
        <f t="shared" si="6"/>
        <v>0</v>
      </c>
      <c r="BG39" s="84" t="s">
        <v>383</v>
      </c>
      <c r="BH39" s="105">
        <v>0.95</v>
      </c>
      <c r="BI39" s="84" t="s">
        <v>383</v>
      </c>
      <c r="BJ39" s="640">
        <f t="shared" si="7"/>
        <v>0</v>
      </c>
      <c r="BK39" s="84" t="s">
        <v>383</v>
      </c>
      <c r="BL39" s="58">
        <v>0</v>
      </c>
      <c r="BM39" s="860">
        <v>0</v>
      </c>
      <c r="BN39" s="860">
        <f t="shared" si="8"/>
        <v>0</v>
      </c>
      <c r="BO39" s="511" t="s">
        <v>387</v>
      </c>
      <c r="BP39" s="513">
        <f t="shared" si="44"/>
        <v>0</v>
      </c>
      <c r="BQ39" s="511"/>
      <c r="BR39" s="514"/>
      <c r="BS39" s="513"/>
      <c r="BT39" s="107"/>
      <c r="BU39" s="108"/>
      <c r="BV39" s="798" t="s">
        <v>383</v>
      </c>
      <c r="BW39" s="804" t="str">
        <f>'9. Pre-Investment Baselines'!AW34</f>
        <v>N/A</v>
      </c>
      <c r="BX39" s="811" t="s">
        <v>383</v>
      </c>
      <c r="BY39" s="803" t="str">
        <f>'9. Pre-Investment Baselines'!AX34</f>
        <v>N/A</v>
      </c>
      <c r="BZ39" s="801" t="s">
        <v>383</v>
      </c>
      <c r="CA39" s="490" t="str">
        <f>'9. Pre-Investment Baselines'!AY34</f>
        <v>N/A</v>
      </c>
      <c r="CB39" s="490" t="s">
        <v>383</v>
      </c>
      <c r="CC39" s="808" t="str">
        <f>'9. Pre-Investment Baselines'!AZ34</f>
        <v>N/A</v>
      </c>
      <c r="CD39" s="257"/>
      <c r="CE39" s="94"/>
      <c r="CF39" s="495"/>
      <c r="CG39" s="94"/>
      <c r="CH39" s="95"/>
      <c r="CI39" s="52"/>
    </row>
    <row r="40" spans="1:87" ht="30" customHeight="1" thickBot="1" x14ac:dyDescent="0.35">
      <c r="A40" s="60" t="str">
        <f t="shared" si="0"/>
        <v>Unitil</v>
      </c>
      <c r="B40" s="66" t="s">
        <v>383</v>
      </c>
      <c r="C40" s="66" t="s">
        <v>383</v>
      </c>
      <c r="D40" s="58" t="s">
        <v>404</v>
      </c>
      <c r="E40" s="58" t="s">
        <v>385</v>
      </c>
      <c r="F40" s="58" t="s">
        <v>412</v>
      </c>
      <c r="G40" s="58" t="s">
        <v>385</v>
      </c>
      <c r="H40" s="10" t="s">
        <v>387</v>
      </c>
      <c r="I40" s="14" t="s">
        <v>458</v>
      </c>
      <c r="J40" s="128" t="s">
        <v>454</v>
      </c>
      <c r="K40" s="833">
        <v>8.533121508568831</v>
      </c>
      <c r="L40" s="526">
        <v>1.7171137049071972</v>
      </c>
      <c r="M40" s="58" t="s">
        <v>383</v>
      </c>
      <c r="N40" s="570">
        <v>0</v>
      </c>
      <c r="O40" s="527" t="s">
        <v>455</v>
      </c>
      <c r="P40" s="524">
        <v>0</v>
      </c>
      <c r="Q40" s="608" t="s">
        <v>450</v>
      </c>
      <c r="R40" s="525" t="s">
        <v>449</v>
      </c>
      <c r="S40" s="18">
        <v>0</v>
      </c>
      <c r="T40" s="16">
        <f>S40</f>
        <v>0</v>
      </c>
      <c r="U40" s="18">
        <v>0</v>
      </c>
      <c r="V40" s="16">
        <f>U40</f>
        <v>0</v>
      </c>
      <c r="W40" s="18">
        <v>0</v>
      </c>
      <c r="X40" s="16">
        <f>W40</f>
        <v>0</v>
      </c>
      <c r="Y40" s="18">
        <v>0</v>
      </c>
      <c r="Z40" s="16">
        <f>Y40</f>
        <v>0</v>
      </c>
      <c r="AA40" s="561">
        <f t="shared" si="47"/>
        <v>0</v>
      </c>
      <c r="AB40" s="562"/>
      <c r="AC40" s="561">
        <f t="shared" si="48"/>
        <v>0</v>
      </c>
      <c r="AD40" s="562"/>
      <c r="AE40" s="561">
        <f t="shared" si="42"/>
        <v>0</v>
      </c>
      <c r="AF40" s="562"/>
      <c r="AG40" s="561">
        <f t="shared" si="43"/>
        <v>0</v>
      </c>
      <c r="AH40" s="562"/>
      <c r="AI40" s="563"/>
      <c r="AJ40" s="562"/>
      <c r="AK40" s="564"/>
      <c r="AL40" s="565"/>
      <c r="AM40" s="566"/>
      <c r="AN40" s="565"/>
      <c r="AO40" s="565"/>
      <c r="AP40" s="565"/>
      <c r="AQ40" s="565"/>
      <c r="AR40" s="565"/>
      <c r="AS40" s="565"/>
      <c r="AT40" s="492"/>
      <c r="AU40" s="493"/>
      <c r="AV40" s="493"/>
      <c r="AW40" s="493"/>
      <c r="AX40" s="493"/>
      <c r="AY40" s="493"/>
      <c r="AZ40" s="493"/>
      <c r="BA40" s="494"/>
      <c r="BB40" s="846"/>
      <c r="BC40" s="84" t="s">
        <v>383</v>
      </c>
      <c r="BD40" s="638">
        <f t="shared" si="5"/>
        <v>0</v>
      </c>
      <c r="BE40" s="84" t="s">
        <v>383</v>
      </c>
      <c r="BF40" s="639">
        <f t="shared" si="6"/>
        <v>0</v>
      </c>
      <c r="BG40" s="84" t="s">
        <v>383</v>
      </c>
      <c r="BH40" s="105">
        <v>0.95</v>
      </c>
      <c r="BI40" s="84" t="s">
        <v>383</v>
      </c>
      <c r="BJ40" s="640">
        <f t="shared" si="7"/>
        <v>0</v>
      </c>
      <c r="BK40" s="84" t="s">
        <v>383</v>
      </c>
      <c r="BL40" s="58">
        <v>0</v>
      </c>
      <c r="BM40" s="860">
        <v>0</v>
      </c>
      <c r="BN40" s="860">
        <f t="shared" si="8"/>
        <v>0</v>
      </c>
      <c r="BO40" s="511" t="s">
        <v>387</v>
      </c>
      <c r="BP40" s="513">
        <f t="shared" si="44"/>
        <v>0</v>
      </c>
      <c r="BQ40" s="511"/>
      <c r="BR40" s="514"/>
      <c r="BS40" s="513"/>
      <c r="BT40" s="107"/>
      <c r="BU40" s="108"/>
      <c r="BV40" s="798">
        <v>0</v>
      </c>
      <c r="BW40" s="804">
        <f>'9. Pre-Investment Baselines'!AW35-BV40</f>
        <v>33.416670000000003</v>
      </c>
      <c r="BX40" s="811">
        <v>0</v>
      </c>
      <c r="BY40" s="803">
        <f>'9. Pre-Investment Baselines'!AX35-BX40</f>
        <v>32.86</v>
      </c>
      <c r="BZ40" s="801">
        <v>0</v>
      </c>
      <c r="CA40" s="806">
        <f>'9. Pre-Investment Baselines'!AY35-BZ40</f>
        <v>1.111</v>
      </c>
      <c r="CB40" s="490">
        <v>0</v>
      </c>
      <c r="CC40" s="808">
        <f>'9. Pre-Investment Baselines'!AZ35-CB40</f>
        <v>0.83333330000000005</v>
      </c>
      <c r="CD40" s="257"/>
      <c r="CE40" s="94"/>
      <c r="CF40" s="495"/>
      <c r="CG40" s="94"/>
      <c r="CH40" s="95"/>
      <c r="CI40" s="52"/>
    </row>
    <row r="41" spans="1:87" ht="30" customHeight="1" x14ac:dyDescent="0.3">
      <c r="A41" s="60" t="str">
        <f t="shared" si="0"/>
        <v>Unitil</v>
      </c>
      <c r="B41" s="66" t="s">
        <v>383</v>
      </c>
      <c r="C41" s="66" t="s">
        <v>383</v>
      </c>
      <c r="D41" s="58" t="s">
        <v>404</v>
      </c>
      <c r="E41" s="58" t="s">
        <v>385</v>
      </c>
      <c r="F41" s="58" t="s">
        <v>413</v>
      </c>
      <c r="G41" s="58" t="s">
        <v>385</v>
      </c>
      <c r="H41" s="10" t="s">
        <v>387</v>
      </c>
      <c r="I41" s="14" t="s">
        <v>458</v>
      </c>
      <c r="J41" s="128" t="s">
        <v>460</v>
      </c>
      <c r="K41" s="833">
        <v>9.8000000000000007</v>
      </c>
      <c r="L41" s="526" t="s">
        <v>383</v>
      </c>
      <c r="M41" s="58">
        <v>466</v>
      </c>
      <c r="N41" s="570">
        <v>2479781.8399069984</v>
      </c>
      <c r="O41" s="527" t="s">
        <v>455</v>
      </c>
      <c r="P41" s="524">
        <v>2.6859999999999999</v>
      </c>
      <c r="Q41" s="608" t="s">
        <v>450</v>
      </c>
      <c r="R41" s="525" t="s">
        <v>537</v>
      </c>
      <c r="S41" s="18">
        <v>0</v>
      </c>
      <c r="T41" s="16">
        <f>S41</f>
        <v>0</v>
      </c>
      <c r="U41" s="18">
        <v>0</v>
      </c>
      <c r="V41" s="16">
        <f>U41</f>
        <v>0</v>
      </c>
      <c r="W41" s="18">
        <v>0</v>
      </c>
      <c r="X41" s="16">
        <f>W41</f>
        <v>0</v>
      </c>
      <c r="Y41" s="18">
        <v>0</v>
      </c>
      <c r="Z41" s="16">
        <f>Y41</f>
        <v>0</v>
      </c>
      <c r="AA41" s="561">
        <f t="shared" si="47"/>
        <v>0</v>
      </c>
      <c r="AB41" s="562"/>
      <c r="AC41" s="561">
        <f t="shared" si="48"/>
        <v>0</v>
      </c>
      <c r="AD41" s="562"/>
      <c r="AE41" s="561">
        <f t="shared" si="42"/>
        <v>0</v>
      </c>
      <c r="AF41" s="562"/>
      <c r="AG41" s="561">
        <f t="shared" si="43"/>
        <v>0</v>
      </c>
      <c r="AH41" s="562"/>
      <c r="AI41" s="563"/>
      <c r="AJ41" s="562"/>
      <c r="AK41" s="564"/>
      <c r="AL41" s="565"/>
      <c r="AM41" s="566"/>
      <c r="AN41" s="565"/>
      <c r="AO41" s="565"/>
      <c r="AP41" s="565"/>
      <c r="AQ41" s="565"/>
      <c r="AR41" s="565"/>
      <c r="AS41" s="565"/>
      <c r="AT41" s="492"/>
      <c r="AU41" s="493"/>
      <c r="AV41" s="493"/>
      <c r="AW41" s="493"/>
      <c r="AX41" s="493"/>
      <c r="AY41" s="493"/>
      <c r="AZ41" s="493"/>
      <c r="BA41" s="494"/>
      <c r="BB41" s="846">
        <f t="shared" si="4"/>
        <v>2479781.8399069984</v>
      </c>
      <c r="BC41" s="84" t="s">
        <v>383</v>
      </c>
      <c r="BD41" s="638">
        <f t="shared" si="5"/>
        <v>2.6859999999999999</v>
      </c>
      <c r="BE41" s="84" t="s">
        <v>383</v>
      </c>
      <c r="BF41" s="639">
        <f t="shared" si="6"/>
        <v>522.34213799929182</v>
      </c>
      <c r="BG41" s="84" t="s">
        <v>383</v>
      </c>
      <c r="BH41" s="105">
        <v>0.95</v>
      </c>
      <c r="BI41" s="84" t="s">
        <v>383</v>
      </c>
      <c r="BJ41" s="640">
        <f t="shared" si="7"/>
        <v>463.47122587861804</v>
      </c>
      <c r="BK41" s="84" t="s">
        <v>383</v>
      </c>
      <c r="BL41" s="58">
        <v>0</v>
      </c>
      <c r="BM41" s="860">
        <v>0</v>
      </c>
      <c r="BN41" s="860">
        <f t="shared" si="8"/>
        <v>0</v>
      </c>
      <c r="BO41" s="511" t="s">
        <v>387</v>
      </c>
      <c r="BP41" s="513">
        <f t="shared" si="44"/>
        <v>0</v>
      </c>
      <c r="BQ41" s="511"/>
      <c r="BR41" s="514"/>
      <c r="BS41" s="513"/>
      <c r="BT41" s="107"/>
      <c r="BU41" s="108"/>
      <c r="BV41" s="798">
        <v>0</v>
      </c>
      <c r="BW41" s="804">
        <f>'9. Pre-Investment Baselines'!AW36-BV41</f>
        <v>75.045680000000004</v>
      </c>
      <c r="BX41" s="811">
        <v>0</v>
      </c>
      <c r="BY41" s="803">
        <f>'9. Pre-Investment Baselines'!AX36-BX41</f>
        <v>17.136669999999999</v>
      </c>
      <c r="BZ41" s="801">
        <v>0</v>
      </c>
      <c r="CA41" s="806">
        <f>'9. Pre-Investment Baselines'!AY36-BZ41</f>
        <v>0.66474730000000004</v>
      </c>
      <c r="CB41" s="490">
        <v>0</v>
      </c>
      <c r="CC41" s="808">
        <f>'9. Pre-Investment Baselines'!AZ36-CB41</f>
        <v>0.32533329999999999</v>
      </c>
      <c r="CD41" s="257"/>
      <c r="CE41" s="94"/>
      <c r="CF41" s="495"/>
      <c r="CG41" s="94"/>
      <c r="CH41" s="95"/>
      <c r="CI41" s="52"/>
    </row>
    <row r="42" spans="1:87" ht="30" customHeight="1" thickBot="1" x14ac:dyDescent="0.35">
      <c r="A42" s="60" t="str">
        <f t="shared" si="0"/>
        <v>Unitil</v>
      </c>
      <c r="B42" s="66" t="s">
        <v>383</v>
      </c>
      <c r="C42" s="66" t="s">
        <v>383</v>
      </c>
      <c r="D42" s="58" t="s">
        <v>404</v>
      </c>
      <c r="E42" s="58" t="s">
        <v>385</v>
      </c>
      <c r="F42" s="496"/>
      <c r="G42" s="496"/>
      <c r="H42" s="497"/>
      <c r="I42" s="529"/>
      <c r="J42" s="496"/>
      <c r="K42" s="834" t="s">
        <v>456</v>
      </c>
      <c r="L42" s="496"/>
      <c r="M42" s="496"/>
      <c r="N42" s="567"/>
      <c r="O42" s="530"/>
      <c r="P42" s="568"/>
      <c r="Q42" s="510"/>
      <c r="R42" s="531"/>
      <c r="S42" s="569"/>
      <c r="T42" s="569"/>
      <c r="U42" s="569"/>
      <c r="V42" s="569"/>
      <c r="W42" s="569"/>
      <c r="X42" s="569"/>
      <c r="Y42" s="569"/>
      <c r="Z42" s="569"/>
      <c r="AA42" s="569"/>
      <c r="AB42" s="569"/>
      <c r="AC42" s="569"/>
      <c r="AD42" s="569"/>
      <c r="AE42" s="569"/>
      <c r="AF42" s="569"/>
      <c r="AG42" s="569"/>
      <c r="AH42" s="569"/>
      <c r="AI42" s="569"/>
      <c r="AJ42" s="569"/>
      <c r="AK42" s="569"/>
      <c r="AL42" s="569"/>
      <c r="AM42" s="497"/>
      <c r="AN42" s="569"/>
      <c r="AO42" s="497"/>
      <c r="AP42" s="569"/>
      <c r="AQ42" s="497"/>
      <c r="AR42" s="569"/>
      <c r="AS42" s="497"/>
      <c r="AT42" s="492"/>
      <c r="AU42" s="493"/>
      <c r="AV42" s="493"/>
      <c r="AW42" s="493"/>
      <c r="AX42" s="493"/>
      <c r="AY42" s="493"/>
      <c r="AZ42" s="493"/>
      <c r="BA42" s="494"/>
      <c r="BB42" s="846"/>
      <c r="BC42" s="84" t="s">
        <v>383</v>
      </c>
      <c r="BD42" s="638">
        <f t="shared" si="5"/>
        <v>0</v>
      </c>
      <c r="BE42" s="84" t="s">
        <v>383</v>
      </c>
      <c r="BF42" s="639">
        <f t="shared" si="6"/>
        <v>0</v>
      </c>
      <c r="BG42" s="84" t="s">
        <v>383</v>
      </c>
      <c r="BH42" s="105"/>
      <c r="BI42" s="84" t="s">
        <v>383</v>
      </c>
      <c r="BJ42" s="640">
        <f t="shared" si="7"/>
        <v>0</v>
      </c>
      <c r="BK42" s="84" t="s">
        <v>383</v>
      </c>
      <c r="BL42" s="496"/>
      <c r="BM42" s="861"/>
      <c r="BN42" s="861"/>
      <c r="BO42" s="515"/>
      <c r="BP42" s="517"/>
      <c r="BQ42" s="515"/>
      <c r="BR42" s="516"/>
      <c r="BS42" s="517"/>
      <c r="BT42" s="107"/>
      <c r="BU42" s="108"/>
      <c r="BV42" s="798"/>
      <c r="BW42" s="489"/>
      <c r="BX42" s="811"/>
      <c r="BY42" s="803"/>
      <c r="BZ42" s="801"/>
      <c r="CA42" s="490"/>
      <c r="CB42" s="490"/>
      <c r="CC42" s="808"/>
      <c r="CD42" s="257"/>
      <c r="CE42" s="94"/>
      <c r="CF42" s="495"/>
      <c r="CG42" s="94"/>
      <c r="CH42" s="95"/>
      <c r="CI42" s="52"/>
    </row>
    <row r="43" spans="1:87" ht="30" customHeight="1" thickBot="1" x14ac:dyDescent="0.35">
      <c r="A43" s="60" t="str">
        <f t="shared" si="0"/>
        <v>Unitil</v>
      </c>
      <c r="B43" s="66" t="s">
        <v>383</v>
      </c>
      <c r="C43" s="66" t="s">
        <v>383</v>
      </c>
      <c r="D43" s="58" t="s">
        <v>414</v>
      </c>
      <c r="E43" s="58" t="s">
        <v>385</v>
      </c>
      <c r="F43" s="58" t="s">
        <v>415</v>
      </c>
      <c r="G43" s="58" t="s">
        <v>385</v>
      </c>
      <c r="H43" s="10" t="s">
        <v>387</v>
      </c>
      <c r="I43" s="14" t="s">
        <v>453</v>
      </c>
      <c r="J43" s="128" t="s">
        <v>454</v>
      </c>
      <c r="K43" s="833">
        <v>9.5609204577802025</v>
      </c>
      <c r="L43" s="526">
        <v>12.561166068941279</v>
      </c>
      <c r="M43" s="58">
        <v>1237</v>
      </c>
      <c r="N43" s="559">
        <v>2691858.1252793102</v>
      </c>
      <c r="O43" s="527" t="s">
        <v>455</v>
      </c>
      <c r="P43" s="524">
        <v>2.3260000000000001</v>
      </c>
      <c r="Q43" s="608" t="s">
        <v>448</v>
      </c>
      <c r="R43" s="525" t="s">
        <v>449</v>
      </c>
      <c r="S43" s="18">
        <v>151</v>
      </c>
      <c r="T43" s="16">
        <f t="shared" ref="T43:V45" si="57">S43</f>
        <v>151</v>
      </c>
      <c r="U43" s="18">
        <v>0</v>
      </c>
      <c r="V43" s="16">
        <f t="shared" si="57"/>
        <v>0</v>
      </c>
      <c r="W43" s="18">
        <v>1</v>
      </c>
      <c r="X43" s="16">
        <f t="shared" ref="X43" si="58">W43</f>
        <v>1</v>
      </c>
      <c r="Y43" s="18"/>
      <c r="Z43" s="16">
        <f t="shared" ref="Z43" si="59">Y43</f>
        <v>0</v>
      </c>
      <c r="AA43" s="561">
        <v>1163</v>
      </c>
      <c r="AB43" s="562"/>
      <c r="AC43" s="561">
        <f t="shared" ref="AC43:AC45" si="60">IF(U43=0,0)</f>
        <v>0</v>
      </c>
      <c r="AD43" s="562"/>
      <c r="AE43" s="561">
        <v>9</v>
      </c>
      <c r="AF43" s="562"/>
      <c r="AG43" s="561">
        <f t="shared" ref="AG43:AG45" si="61">IF(Y43=0,0)</f>
        <v>0</v>
      </c>
      <c r="AH43" s="562"/>
      <c r="AI43" s="563"/>
      <c r="AJ43" s="562"/>
      <c r="AK43" s="564"/>
      <c r="AL43" s="565"/>
      <c r="AM43" s="566"/>
      <c r="AN43" s="565"/>
      <c r="AO43" s="565"/>
      <c r="AP43" s="565"/>
      <c r="AQ43" s="565"/>
      <c r="AR43" s="565"/>
      <c r="AS43" s="565"/>
      <c r="AT43" s="492"/>
      <c r="AU43" s="493"/>
      <c r="AV43" s="493"/>
      <c r="AW43" s="493"/>
      <c r="AX43" s="493"/>
      <c r="AY43" s="493"/>
      <c r="AZ43" s="493"/>
      <c r="BA43" s="494"/>
      <c r="BB43" s="846">
        <f t="shared" si="4"/>
        <v>2691858.1252793102</v>
      </c>
      <c r="BC43" s="84" t="s">
        <v>383</v>
      </c>
      <c r="BD43" s="638">
        <f t="shared" si="5"/>
        <v>2.3260000000000001</v>
      </c>
      <c r="BE43" s="84" t="s">
        <v>383</v>
      </c>
      <c r="BF43" s="639">
        <f t="shared" si="6"/>
        <v>452.33351190854523</v>
      </c>
      <c r="BG43" s="84" t="s">
        <v>383</v>
      </c>
      <c r="BH43" s="105">
        <v>0.95</v>
      </c>
      <c r="BI43" s="84" t="s">
        <v>383</v>
      </c>
      <c r="BJ43" s="640">
        <f t="shared" si="7"/>
        <v>503.10828361470311</v>
      </c>
      <c r="BK43" s="84" t="s">
        <v>383</v>
      </c>
      <c r="BL43" s="58">
        <v>1</v>
      </c>
      <c r="BM43" s="860">
        <v>0</v>
      </c>
      <c r="BN43" s="860">
        <f t="shared" si="8"/>
        <v>-1</v>
      </c>
      <c r="BO43" s="511" t="s">
        <v>387</v>
      </c>
      <c r="BP43" s="513">
        <f t="shared" ref="BP43:BP44" si="62">IF(BO43="Y",M43,IF(BO43="N",0))</f>
        <v>0</v>
      </c>
      <c r="BQ43" s="511"/>
      <c r="BR43" s="514"/>
      <c r="BS43" s="513"/>
      <c r="BT43" s="107"/>
      <c r="BU43" s="108"/>
      <c r="BV43" s="798">
        <v>521.30999999999995</v>
      </c>
      <c r="BW43" s="804">
        <f>'9. Pre-Investment Baselines'!AW38-BV43</f>
        <v>-506.52666999999997</v>
      </c>
      <c r="BX43" s="811">
        <v>23.5</v>
      </c>
      <c r="BY43" s="803">
        <f>'9. Pre-Investment Baselines'!AX38-BX43</f>
        <v>-9.5399999999999991</v>
      </c>
      <c r="BZ43" s="801">
        <v>0.88400000000000001</v>
      </c>
      <c r="CA43" s="806">
        <f>'9. Pre-Investment Baselines'!AY38-BZ43</f>
        <v>-0.56266670000000008</v>
      </c>
      <c r="CB43" s="490">
        <v>0.53400000000000003</v>
      </c>
      <c r="CC43" s="808">
        <f>'9. Pre-Investment Baselines'!AZ38-CB43</f>
        <v>-0.22100000000000003</v>
      </c>
      <c r="CD43" s="257"/>
      <c r="CE43" s="94"/>
      <c r="CF43" s="495"/>
      <c r="CG43" s="94"/>
      <c r="CH43" s="95"/>
      <c r="CI43" s="52"/>
    </row>
    <row r="44" spans="1:87" ht="30" customHeight="1" thickBot="1" x14ac:dyDescent="0.35">
      <c r="A44" s="60" t="str">
        <f t="shared" si="0"/>
        <v>Unitil</v>
      </c>
      <c r="B44" s="66" t="s">
        <v>383</v>
      </c>
      <c r="C44" s="66" t="s">
        <v>383</v>
      </c>
      <c r="D44" s="58" t="s">
        <v>414</v>
      </c>
      <c r="E44" s="58" t="s">
        <v>385</v>
      </c>
      <c r="F44" s="58" t="s">
        <v>416</v>
      </c>
      <c r="G44" s="58" t="s">
        <v>385</v>
      </c>
      <c r="H44" s="10" t="s">
        <v>387</v>
      </c>
      <c r="I44" s="14" t="s">
        <v>453</v>
      </c>
      <c r="J44" s="128" t="s">
        <v>454</v>
      </c>
      <c r="K44" s="833">
        <v>9.5609204577802025</v>
      </c>
      <c r="L44" s="526">
        <v>9.2775641883200759</v>
      </c>
      <c r="M44" s="58">
        <v>639</v>
      </c>
      <c r="N44" s="559">
        <v>1671200.6158717484</v>
      </c>
      <c r="O44" s="527" t="s">
        <v>455</v>
      </c>
      <c r="P44" s="524">
        <v>1.2589999999999999</v>
      </c>
      <c r="Q44" s="608" t="s">
        <v>448</v>
      </c>
      <c r="R44" s="525" t="s">
        <v>449</v>
      </c>
      <c r="S44" s="18">
        <v>59</v>
      </c>
      <c r="T44" s="16">
        <f t="shared" si="57"/>
        <v>59</v>
      </c>
      <c r="U44" s="18">
        <v>0</v>
      </c>
      <c r="V44" s="16">
        <f t="shared" si="57"/>
        <v>0</v>
      </c>
      <c r="W44" s="18">
        <v>0</v>
      </c>
      <c r="X44" s="16">
        <f t="shared" ref="X44" si="63">W44</f>
        <v>0</v>
      </c>
      <c r="Y44" s="18">
        <v>0</v>
      </c>
      <c r="Z44" s="16">
        <f t="shared" ref="Z44" si="64">Y44</f>
        <v>0</v>
      </c>
      <c r="AA44" s="561">
        <v>395</v>
      </c>
      <c r="AB44" s="562"/>
      <c r="AC44" s="561">
        <f t="shared" si="60"/>
        <v>0</v>
      </c>
      <c r="AD44" s="562"/>
      <c r="AE44" s="561">
        <f t="shared" ref="AE44:AE45" si="65">IF(W44=0,0)</f>
        <v>0</v>
      </c>
      <c r="AF44" s="562"/>
      <c r="AG44" s="561">
        <f t="shared" si="61"/>
        <v>0</v>
      </c>
      <c r="AH44" s="562"/>
      <c r="AI44" s="563"/>
      <c r="AJ44" s="562"/>
      <c r="AK44" s="564"/>
      <c r="AL44" s="565"/>
      <c r="AM44" s="566"/>
      <c r="AN44" s="565"/>
      <c r="AO44" s="565"/>
      <c r="AP44" s="565"/>
      <c r="AQ44" s="565"/>
      <c r="AR44" s="565"/>
      <c r="AS44" s="565"/>
      <c r="AT44" s="492"/>
      <c r="AU44" s="493"/>
      <c r="AV44" s="493"/>
      <c r="AW44" s="493"/>
      <c r="AX44" s="493"/>
      <c r="AY44" s="493"/>
      <c r="AZ44" s="493"/>
      <c r="BA44" s="494"/>
      <c r="BB44" s="846">
        <f t="shared" si="4"/>
        <v>1671200.6158717484</v>
      </c>
      <c r="BC44" s="84" t="s">
        <v>383</v>
      </c>
      <c r="BD44" s="638">
        <f t="shared" si="5"/>
        <v>1.2589999999999999</v>
      </c>
      <c r="BE44" s="84" t="s">
        <v>383</v>
      </c>
      <c r="BF44" s="639">
        <f t="shared" si="6"/>
        <v>244.83572291180502</v>
      </c>
      <c r="BG44" s="84" t="s">
        <v>383</v>
      </c>
      <c r="BH44" s="105">
        <v>0.95</v>
      </c>
      <c r="BI44" s="84" t="s">
        <v>383</v>
      </c>
      <c r="BJ44" s="640">
        <f t="shared" si="7"/>
        <v>312.34739510642981</v>
      </c>
      <c r="BK44" s="84" t="s">
        <v>383</v>
      </c>
      <c r="BL44" s="58">
        <v>0</v>
      </c>
      <c r="BM44" s="860">
        <v>1.333333333333333</v>
      </c>
      <c r="BN44" s="860">
        <f t="shared" si="8"/>
        <v>1.333333333333333</v>
      </c>
      <c r="BO44" s="511" t="s">
        <v>387</v>
      </c>
      <c r="BP44" s="513">
        <f t="shared" si="62"/>
        <v>0</v>
      </c>
      <c r="BQ44" s="511"/>
      <c r="BR44" s="514"/>
      <c r="BS44" s="513"/>
      <c r="BT44" s="107"/>
      <c r="BU44" s="108"/>
      <c r="BV44" s="798">
        <v>564.44000000000005</v>
      </c>
      <c r="BW44" s="804">
        <f>'9. Pre-Investment Baselines'!AW39-BV44</f>
        <v>-319.35330000000005</v>
      </c>
      <c r="BX44" s="811">
        <v>7.43</v>
      </c>
      <c r="BY44" s="803">
        <f>'9. Pre-Investment Baselines'!AX39-BX44</f>
        <v>11.913330000000002</v>
      </c>
      <c r="BZ44" s="801">
        <v>0.53700000000000003</v>
      </c>
      <c r="CA44" s="806">
        <f>'9. Pre-Investment Baselines'!AY39-BZ44</f>
        <v>-7.5333300000000047E-2</v>
      </c>
      <c r="CB44" s="490">
        <v>0.182</v>
      </c>
      <c r="CC44" s="808">
        <f>'9. Pre-Investment Baselines'!AZ39-CB44</f>
        <v>6.5333300000000011E-2</v>
      </c>
      <c r="CD44" s="257"/>
      <c r="CE44" s="94"/>
      <c r="CF44" s="495"/>
      <c r="CG44" s="94"/>
      <c r="CH44" s="95"/>
      <c r="CI44" s="52"/>
    </row>
    <row r="45" spans="1:87" ht="30" customHeight="1" x14ac:dyDescent="0.3">
      <c r="A45" s="60" t="str">
        <f t="shared" si="0"/>
        <v>Unitil</v>
      </c>
      <c r="B45" s="66" t="s">
        <v>383</v>
      </c>
      <c r="C45" s="66" t="s">
        <v>383</v>
      </c>
      <c r="D45" s="58" t="s">
        <v>414</v>
      </c>
      <c r="E45" s="58" t="s">
        <v>385</v>
      </c>
      <c r="F45" s="58" t="s">
        <v>417</v>
      </c>
      <c r="G45" s="58" t="s">
        <v>385</v>
      </c>
      <c r="H45" s="10" t="s">
        <v>387</v>
      </c>
      <c r="I45" s="14" t="s">
        <v>453</v>
      </c>
      <c r="J45" s="128" t="s">
        <v>454</v>
      </c>
      <c r="K45" s="833">
        <v>11.951150572225254</v>
      </c>
      <c r="L45" s="526">
        <v>0.48</v>
      </c>
      <c r="M45" s="58">
        <v>6</v>
      </c>
      <c r="N45" s="845">
        <v>0</v>
      </c>
      <c r="O45" s="527" t="s">
        <v>383</v>
      </c>
      <c r="P45" s="524">
        <v>9.6000000000000002E-2</v>
      </c>
      <c r="Q45" s="608" t="s">
        <v>448</v>
      </c>
      <c r="R45" s="525" t="s">
        <v>449</v>
      </c>
      <c r="S45" s="18">
        <v>0</v>
      </c>
      <c r="T45" s="16">
        <f t="shared" si="57"/>
        <v>0</v>
      </c>
      <c r="U45" s="18">
        <v>0</v>
      </c>
      <c r="V45" s="16">
        <f t="shared" si="57"/>
        <v>0</v>
      </c>
      <c r="W45" s="18">
        <v>0</v>
      </c>
      <c r="X45" s="16">
        <f t="shared" ref="X45" si="66">W45</f>
        <v>0</v>
      </c>
      <c r="Y45" s="18">
        <v>0</v>
      </c>
      <c r="Z45" s="16">
        <f t="shared" ref="Z45" si="67">Y45</f>
        <v>0</v>
      </c>
      <c r="AA45" s="561">
        <f t="shared" ref="AA45" si="68">IF(S45=0,0)</f>
        <v>0</v>
      </c>
      <c r="AB45" s="562"/>
      <c r="AC45" s="561">
        <f t="shared" si="60"/>
        <v>0</v>
      </c>
      <c r="AD45" s="562"/>
      <c r="AE45" s="561">
        <f t="shared" si="65"/>
        <v>0</v>
      </c>
      <c r="AF45" s="562"/>
      <c r="AG45" s="561">
        <f t="shared" si="61"/>
        <v>0</v>
      </c>
      <c r="AH45" s="562"/>
      <c r="AI45" s="563"/>
      <c r="AJ45" s="562"/>
      <c r="AK45" s="564"/>
      <c r="AL45" s="565"/>
      <c r="AM45" s="566"/>
      <c r="AN45" s="565"/>
      <c r="AO45" s="565"/>
      <c r="AP45" s="565"/>
      <c r="AQ45" s="565"/>
      <c r="AR45" s="565"/>
      <c r="AS45" s="565"/>
      <c r="AT45" s="492"/>
      <c r="AU45" s="493"/>
      <c r="AV45" s="493"/>
      <c r="AW45" s="493"/>
      <c r="AX45" s="493"/>
      <c r="AY45" s="493"/>
      <c r="AZ45" s="493"/>
      <c r="BA45" s="494"/>
      <c r="BB45" s="846">
        <f t="shared" si="4"/>
        <v>0</v>
      </c>
      <c r="BC45" s="84" t="s">
        <v>383</v>
      </c>
      <c r="BD45" s="638">
        <f t="shared" si="5"/>
        <v>9.6000000000000002E-2</v>
      </c>
      <c r="BE45" s="84" t="s">
        <v>383</v>
      </c>
      <c r="BF45" s="639">
        <f t="shared" si="6"/>
        <v>18.66896695753239</v>
      </c>
      <c r="BG45" s="84" t="s">
        <v>383</v>
      </c>
      <c r="BH45" s="105">
        <v>0.95</v>
      </c>
      <c r="BI45" s="84" t="s">
        <v>383</v>
      </c>
      <c r="BJ45" s="640">
        <f t="shared" si="7"/>
        <v>0</v>
      </c>
      <c r="BK45" s="84" t="s">
        <v>383</v>
      </c>
      <c r="BL45" s="58">
        <v>0</v>
      </c>
      <c r="BM45" s="860">
        <v>1</v>
      </c>
      <c r="BN45" s="860">
        <f t="shared" si="8"/>
        <v>1</v>
      </c>
      <c r="BO45" s="511" t="s">
        <v>387</v>
      </c>
      <c r="BP45" s="513">
        <f>IF(BO45="Y",M45,IF(BO45="N",0))</f>
        <v>0</v>
      </c>
      <c r="BQ45" s="511"/>
      <c r="BR45" s="514"/>
      <c r="BS45" s="513"/>
      <c r="BT45" s="107"/>
      <c r="BU45" s="108"/>
      <c r="BV45" s="798">
        <v>0</v>
      </c>
      <c r="BW45" s="804" t="str">
        <f>'9. Pre-Investment Baselines'!AW40</f>
        <v>N/A</v>
      </c>
      <c r="BX45" s="811">
        <v>0</v>
      </c>
      <c r="BY45" s="803" t="str">
        <f>'9. Pre-Investment Baselines'!AX40</f>
        <v>N/A</v>
      </c>
      <c r="BZ45" s="801">
        <v>0</v>
      </c>
      <c r="CA45" s="490" t="str">
        <f>'9. Pre-Investment Baselines'!AY40</f>
        <v>N/A</v>
      </c>
      <c r="CB45" s="490">
        <v>0</v>
      </c>
      <c r="CC45" s="808" t="str">
        <f>'9. Pre-Investment Baselines'!AZ40</f>
        <v>N/A</v>
      </c>
      <c r="CD45" s="257"/>
      <c r="CE45" s="94"/>
      <c r="CF45" s="495"/>
      <c r="CG45" s="94"/>
      <c r="CH45" s="95"/>
      <c r="CI45" s="52"/>
    </row>
    <row r="46" spans="1:87" ht="30" customHeight="1" thickBot="1" x14ac:dyDescent="0.35">
      <c r="A46" s="60" t="str">
        <f t="shared" si="0"/>
        <v>Unitil</v>
      </c>
      <c r="B46" s="66" t="s">
        <v>383</v>
      </c>
      <c r="C46" s="66" t="s">
        <v>383</v>
      </c>
      <c r="D46" s="58" t="s">
        <v>414</v>
      </c>
      <c r="E46" s="58" t="s">
        <v>385</v>
      </c>
      <c r="F46" s="496"/>
      <c r="G46" s="496"/>
      <c r="H46" s="497"/>
      <c r="I46" s="529"/>
      <c r="J46" s="496"/>
      <c r="K46" s="834" t="s">
        <v>456</v>
      </c>
      <c r="L46" s="496"/>
      <c r="M46" s="496"/>
      <c r="N46" s="567"/>
      <c r="O46" s="530"/>
      <c r="P46" s="568"/>
      <c r="Q46" s="510"/>
      <c r="R46" s="531"/>
      <c r="S46" s="569"/>
      <c r="T46" s="569"/>
      <c r="U46" s="569"/>
      <c r="V46" s="569"/>
      <c r="W46" s="569"/>
      <c r="X46" s="569"/>
      <c r="Y46" s="569"/>
      <c r="Z46" s="569"/>
      <c r="AA46" s="569"/>
      <c r="AB46" s="569"/>
      <c r="AC46" s="569"/>
      <c r="AD46" s="569"/>
      <c r="AE46" s="569"/>
      <c r="AF46" s="569"/>
      <c r="AG46" s="569"/>
      <c r="AH46" s="569"/>
      <c r="AI46" s="569"/>
      <c r="AJ46" s="569"/>
      <c r="AK46" s="569"/>
      <c r="AL46" s="569"/>
      <c r="AM46" s="497"/>
      <c r="AN46" s="569"/>
      <c r="AO46" s="497"/>
      <c r="AP46" s="569"/>
      <c r="AQ46" s="497"/>
      <c r="AR46" s="569"/>
      <c r="AS46" s="497"/>
      <c r="AT46" s="492"/>
      <c r="AU46" s="493"/>
      <c r="AV46" s="493"/>
      <c r="AW46" s="493"/>
      <c r="AX46" s="493"/>
      <c r="AY46" s="493"/>
      <c r="AZ46" s="493"/>
      <c r="BA46" s="494"/>
      <c r="BB46" s="846"/>
      <c r="BC46" s="84" t="s">
        <v>383</v>
      </c>
      <c r="BD46" s="638">
        <f t="shared" si="5"/>
        <v>0</v>
      </c>
      <c r="BE46" s="84" t="s">
        <v>383</v>
      </c>
      <c r="BF46" s="639">
        <f t="shared" si="6"/>
        <v>0</v>
      </c>
      <c r="BG46" s="84" t="s">
        <v>383</v>
      </c>
      <c r="BH46" s="105"/>
      <c r="BI46" s="84" t="s">
        <v>383</v>
      </c>
      <c r="BJ46" s="640">
        <f t="shared" si="7"/>
        <v>0</v>
      </c>
      <c r="BK46" s="84" t="s">
        <v>383</v>
      </c>
      <c r="BL46" s="496"/>
      <c r="BM46" s="861"/>
      <c r="BN46" s="861"/>
      <c r="BO46" s="515"/>
      <c r="BP46" s="517"/>
      <c r="BQ46" s="515"/>
      <c r="BR46" s="516"/>
      <c r="BS46" s="517"/>
      <c r="BT46" s="107"/>
      <c r="BU46" s="108"/>
      <c r="BV46" s="798"/>
      <c r="BW46" s="489"/>
      <c r="BX46" s="811"/>
      <c r="BY46" s="803"/>
      <c r="BZ46" s="801"/>
      <c r="CA46" s="490"/>
      <c r="CB46" s="490"/>
      <c r="CC46" s="808"/>
      <c r="CD46" s="257"/>
      <c r="CE46" s="94"/>
      <c r="CF46" s="495"/>
      <c r="CG46" s="94"/>
      <c r="CH46" s="95"/>
      <c r="CI46" s="52"/>
    </row>
    <row r="47" spans="1:87" ht="30" customHeight="1" thickBot="1" x14ac:dyDescent="0.35">
      <c r="A47" s="60" t="str">
        <f t="shared" si="0"/>
        <v>Unitil</v>
      </c>
      <c r="B47" s="66" t="s">
        <v>383</v>
      </c>
      <c r="C47" s="66" t="s">
        <v>383</v>
      </c>
      <c r="D47" s="58" t="s">
        <v>418</v>
      </c>
      <c r="E47" s="58" t="s">
        <v>418</v>
      </c>
      <c r="F47" s="58" t="s">
        <v>419</v>
      </c>
      <c r="G47" s="58" t="s">
        <v>418</v>
      </c>
      <c r="H47" s="10" t="s">
        <v>387</v>
      </c>
      <c r="I47" s="14" t="s">
        <v>453</v>
      </c>
      <c r="J47" s="128" t="s">
        <v>454</v>
      </c>
      <c r="K47" s="833">
        <v>11.951000000000001</v>
      </c>
      <c r="L47" s="526">
        <v>46.286335674929873</v>
      </c>
      <c r="M47" s="58">
        <v>1409</v>
      </c>
      <c r="N47" s="559">
        <v>6404478.1123168375</v>
      </c>
      <c r="O47" s="527" t="s">
        <v>455</v>
      </c>
      <c r="P47" s="524">
        <v>4.2789999999999999</v>
      </c>
      <c r="Q47" s="608" t="s">
        <v>448</v>
      </c>
      <c r="R47" s="528" t="s">
        <v>450</v>
      </c>
      <c r="S47" s="18">
        <v>226</v>
      </c>
      <c r="T47" s="16">
        <f>S47</f>
        <v>226</v>
      </c>
      <c r="U47" s="18">
        <v>0</v>
      </c>
      <c r="V47" s="16">
        <f>U47</f>
        <v>0</v>
      </c>
      <c r="W47" s="18">
        <v>4</v>
      </c>
      <c r="X47" s="16">
        <f>W47</f>
        <v>4</v>
      </c>
      <c r="Y47" s="18">
        <v>0</v>
      </c>
      <c r="Z47" s="16">
        <f>Y47</f>
        <v>0</v>
      </c>
      <c r="AA47" s="561">
        <v>2014</v>
      </c>
      <c r="AB47" s="562"/>
      <c r="AC47" s="561">
        <f t="shared" ref="AC47:AC48" si="69">IF(U47=0,0)</f>
        <v>0</v>
      </c>
      <c r="AD47" s="562"/>
      <c r="AE47" s="561">
        <v>38</v>
      </c>
      <c r="AF47" s="562"/>
      <c r="AG47" s="561">
        <f t="shared" ref="AG47:AG48" si="70">IF(Y47=0,0)</f>
        <v>0</v>
      </c>
      <c r="AH47" s="562"/>
      <c r="AI47" s="563"/>
      <c r="AJ47" s="562"/>
      <c r="AK47" s="564"/>
      <c r="AL47" s="565"/>
      <c r="AM47" s="566"/>
      <c r="AN47" s="565"/>
      <c r="AO47" s="565"/>
      <c r="AP47" s="565"/>
      <c r="AQ47" s="565"/>
      <c r="AR47" s="565"/>
      <c r="AS47" s="565"/>
      <c r="AT47" s="492"/>
      <c r="AU47" s="493"/>
      <c r="AV47" s="493"/>
      <c r="AW47" s="493"/>
      <c r="AX47" s="493"/>
      <c r="AY47" s="493"/>
      <c r="AZ47" s="493"/>
      <c r="BA47" s="494"/>
      <c r="BB47" s="846">
        <f t="shared" si="4"/>
        <v>6404478.1123168375</v>
      </c>
      <c r="BC47" s="84" t="s">
        <v>383</v>
      </c>
      <c r="BD47" s="638">
        <f t="shared" si="5"/>
        <v>4.2789999999999999</v>
      </c>
      <c r="BE47" s="84" t="s">
        <v>383</v>
      </c>
      <c r="BF47" s="639">
        <f t="shared" si="6"/>
        <v>832.13030845084484</v>
      </c>
      <c r="BG47" s="84" t="s">
        <v>383</v>
      </c>
      <c r="BH47" s="105">
        <v>0.95</v>
      </c>
      <c r="BI47" s="84" t="s">
        <v>383</v>
      </c>
      <c r="BJ47" s="640">
        <f t="shared" si="7"/>
        <v>1196.9969591920171</v>
      </c>
      <c r="BK47" s="84" t="s">
        <v>383</v>
      </c>
      <c r="BL47" s="58">
        <v>3</v>
      </c>
      <c r="BM47" s="860">
        <v>0</v>
      </c>
      <c r="BN47" s="860">
        <f t="shared" si="8"/>
        <v>-3</v>
      </c>
      <c r="BO47" s="511" t="s">
        <v>387</v>
      </c>
      <c r="BP47" s="513">
        <f t="shared" ref="BP47:BP48" si="71">IF(BO47="Y",M47,IF(BO47="N",0))</f>
        <v>0</v>
      </c>
      <c r="BQ47" s="511"/>
      <c r="BR47" s="514"/>
      <c r="BS47" s="513"/>
      <c r="BT47" s="107"/>
      <c r="BU47" s="108"/>
      <c r="BV47" s="798">
        <v>2549.9299999999998</v>
      </c>
      <c r="BW47" s="804">
        <f>'9. Pre-Investment Baselines'!AW42-BV47</f>
        <v>-2265.3467000000001</v>
      </c>
      <c r="BX47" s="811">
        <v>133.54</v>
      </c>
      <c r="BY47" s="803">
        <f>'9. Pre-Investment Baselines'!AX42-BX47</f>
        <v>1.8733000000000004</v>
      </c>
      <c r="BZ47" s="801">
        <v>4.649</v>
      </c>
      <c r="CA47" s="806">
        <f>'9. Pre-Investment Baselines'!AY42-BZ47</f>
        <v>-1.786</v>
      </c>
      <c r="CB47" s="490">
        <v>2.0790000000000002</v>
      </c>
      <c r="CC47" s="808">
        <f>'9. Pre-Investment Baselines'!AZ42-CB47</f>
        <v>-0.19300000000000028</v>
      </c>
      <c r="CD47" s="257"/>
      <c r="CE47" s="94"/>
      <c r="CF47" s="495"/>
      <c r="CG47" s="94"/>
      <c r="CH47" s="95"/>
      <c r="CI47" s="52"/>
    </row>
    <row r="48" spans="1:87" ht="30" customHeight="1" x14ac:dyDescent="0.3">
      <c r="A48" s="60" t="str">
        <f t="shared" si="0"/>
        <v>Unitil</v>
      </c>
      <c r="B48" s="66" t="s">
        <v>383</v>
      </c>
      <c r="C48" s="66" t="s">
        <v>383</v>
      </c>
      <c r="D48" s="58" t="s">
        <v>418</v>
      </c>
      <c r="E48" s="58" t="s">
        <v>418</v>
      </c>
      <c r="F48" s="58" t="s">
        <v>420</v>
      </c>
      <c r="G48" s="58" t="s">
        <v>421</v>
      </c>
      <c r="H48" s="10" t="s">
        <v>387</v>
      </c>
      <c r="I48" s="14" t="s">
        <v>453</v>
      </c>
      <c r="J48" s="128" t="s">
        <v>454</v>
      </c>
      <c r="K48" s="833">
        <v>11.951000000000001</v>
      </c>
      <c r="L48" s="526">
        <v>45.416306044464029</v>
      </c>
      <c r="M48" s="58">
        <v>1700</v>
      </c>
      <c r="N48" s="559">
        <v>7361835.4988452233</v>
      </c>
      <c r="O48" s="527" t="s">
        <v>455</v>
      </c>
      <c r="P48" s="524">
        <v>4.16</v>
      </c>
      <c r="Q48" s="608" t="s">
        <v>448</v>
      </c>
      <c r="R48" s="528" t="s">
        <v>450</v>
      </c>
      <c r="S48" s="18">
        <v>187</v>
      </c>
      <c r="T48" s="16">
        <f>S48</f>
        <v>187</v>
      </c>
      <c r="U48" s="18">
        <v>0</v>
      </c>
      <c r="V48" s="16">
        <f>U48</f>
        <v>0</v>
      </c>
      <c r="W48" s="18">
        <v>4</v>
      </c>
      <c r="X48" s="16">
        <f>W48</f>
        <v>4</v>
      </c>
      <c r="Y48" s="18">
        <v>0</v>
      </c>
      <c r="Z48" s="16">
        <f>Y48</f>
        <v>0</v>
      </c>
      <c r="AA48" s="561">
        <v>4314</v>
      </c>
      <c r="AB48" s="562"/>
      <c r="AC48" s="561">
        <f t="shared" si="69"/>
        <v>0</v>
      </c>
      <c r="AD48" s="562"/>
      <c r="AE48" s="561">
        <v>45</v>
      </c>
      <c r="AF48" s="562"/>
      <c r="AG48" s="561">
        <f t="shared" si="70"/>
        <v>0</v>
      </c>
      <c r="AH48" s="562"/>
      <c r="AI48" s="563"/>
      <c r="AJ48" s="562"/>
      <c r="AK48" s="564"/>
      <c r="AL48" s="565"/>
      <c r="AM48" s="566"/>
      <c r="AN48" s="565"/>
      <c r="AO48" s="565"/>
      <c r="AP48" s="565"/>
      <c r="AQ48" s="565"/>
      <c r="AR48" s="565"/>
      <c r="AS48" s="565"/>
      <c r="AT48" s="492"/>
      <c r="AU48" s="493"/>
      <c r="AV48" s="493"/>
      <c r="AW48" s="493"/>
      <c r="AX48" s="493"/>
      <c r="AY48" s="493"/>
      <c r="AZ48" s="493"/>
      <c r="BA48" s="494"/>
      <c r="BB48" s="846">
        <f t="shared" si="4"/>
        <v>7361835.4988452233</v>
      </c>
      <c r="BC48" s="84" t="s">
        <v>383</v>
      </c>
      <c r="BD48" s="638">
        <f t="shared" si="5"/>
        <v>4.16</v>
      </c>
      <c r="BE48" s="84" t="s">
        <v>383</v>
      </c>
      <c r="BF48" s="639">
        <f t="shared" si="6"/>
        <v>808.98856815973704</v>
      </c>
      <c r="BG48" s="84" t="s">
        <v>383</v>
      </c>
      <c r="BH48" s="105">
        <v>0.95</v>
      </c>
      <c r="BI48" s="84" t="s">
        <v>383</v>
      </c>
      <c r="BJ48" s="640">
        <f t="shared" si="7"/>
        <v>1375.9270547341723</v>
      </c>
      <c r="BK48" s="84" t="s">
        <v>383</v>
      </c>
      <c r="BL48" s="58">
        <v>3</v>
      </c>
      <c r="BM48" s="860">
        <v>1.6666666666666667</v>
      </c>
      <c r="BN48" s="860">
        <f t="shared" si="8"/>
        <v>-1.3333333333333333</v>
      </c>
      <c r="BO48" s="511" t="s">
        <v>387</v>
      </c>
      <c r="BP48" s="513">
        <f t="shared" si="71"/>
        <v>0</v>
      </c>
      <c r="BQ48" s="511"/>
      <c r="BR48" s="514"/>
      <c r="BS48" s="513"/>
      <c r="BT48" s="107"/>
      <c r="BU48" s="108"/>
      <c r="BV48" s="798">
        <v>1675.28</v>
      </c>
      <c r="BW48" s="804">
        <f>'9. Pre-Investment Baselines'!AW43-BV48</f>
        <v>-1482.1867</v>
      </c>
      <c r="BX48" s="811">
        <v>59.85</v>
      </c>
      <c r="BY48" s="803">
        <f>'9. Pre-Investment Baselines'!AX43-BX48</f>
        <v>36.236669999999997</v>
      </c>
      <c r="BZ48" s="801">
        <v>4.9850000000000003</v>
      </c>
      <c r="CA48" s="806">
        <f>'9. Pre-Investment Baselines'!AY43-BZ48</f>
        <v>-2.7943333000000004</v>
      </c>
      <c r="CB48" s="490">
        <v>1.1850000000000001</v>
      </c>
      <c r="CC48" s="808">
        <f>'9. Pre-Investment Baselines'!AZ43-CB48</f>
        <v>0.38433329999999999</v>
      </c>
      <c r="CD48" s="257"/>
      <c r="CE48" s="94"/>
      <c r="CF48" s="495"/>
      <c r="CG48" s="94"/>
      <c r="CH48" s="95"/>
      <c r="CI48" s="52"/>
    </row>
    <row r="49" spans="1:87" ht="30" customHeight="1" thickBot="1" x14ac:dyDescent="0.35">
      <c r="A49" s="60" t="str">
        <f t="shared" si="0"/>
        <v>Unitil</v>
      </c>
      <c r="B49" s="66" t="s">
        <v>383</v>
      </c>
      <c r="C49" s="66" t="s">
        <v>383</v>
      </c>
      <c r="D49" s="58" t="s">
        <v>418</v>
      </c>
      <c r="E49" s="58" t="s">
        <v>418</v>
      </c>
      <c r="F49" s="496"/>
      <c r="G49" s="496"/>
      <c r="H49" s="497"/>
      <c r="I49" s="529"/>
      <c r="J49" s="496"/>
      <c r="K49" s="834" t="s">
        <v>456</v>
      </c>
      <c r="L49" s="496"/>
      <c r="M49" s="496"/>
      <c r="N49" s="567"/>
      <c r="O49" s="530"/>
      <c r="P49" s="568"/>
      <c r="Q49" s="510"/>
      <c r="R49" s="531"/>
      <c r="S49" s="569"/>
      <c r="T49" s="569"/>
      <c r="U49" s="569"/>
      <c r="V49" s="569"/>
      <c r="W49" s="569"/>
      <c r="X49" s="569"/>
      <c r="Y49" s="569"/>
      <c r="Z49" s="569"/>
      <c r="AA49" s="569"/>
      <c r="AB49" s="569"/>
      <c r="AC49" s="569"/>
      <c r="AD49" s="569"/>
      <c r="AE49" s="569"/>
      <c r="AF49" s="569"/>
      <c r="AG49" s="569"/>
      <c r="AH49" s="569"/>
      <c r="AI49" s="569"/>
      <c r="AJ49" s="569"/>
      <c r="AK49" s="569"/>
      <c r="AL49" s="569"/>
      <c r="AM49" s="497"/>
      <c r="AN49" s="569"/>
      <c r="AO49" s="497"/>
      <c r="AP49" s="569"/>
      <c r="AQ49" s="497"/>
      <c r="AR49" s="569"/>
      <c r="AS49" s="497"/>
      <c r="AT49" s="492"/>
      <c r="AU49" s="493"/>
      <c r="AV49" s="493"/>
      <c r="AW49" s="493"/>
      <c r="AX49" s="493"/>
      <c r="AY49" s="493"/>
      <c r="AZ49" s="493"/>
      <c r="BA49" s="494"/>
      <c r="BB49" s="846"/>
      <c r="BC49" s="84" t="s">
        <v>383</v>
      </c>
      <c r="BD49" s="638">
        <f t="shared" si="5"/>
        <v>0</v>
      </c>
      <c r="BE49" s="84" t="s">
        <v>383</v>
      </c>
      <c r="BF49" s="639">
        <f t="shared" si="6"/>
        <v>0</v>
      </c>
      <c r="BG49" s="84" t="s">
        <v>383</v>
      </c>
      <c r="BH49" s="105"/>
      <c r="BI49" s="84" t="s">
        <v>383</v>
      </c>
      <c r="BJ49" s="640">
        <f t="shared" si="7"/>
        <v>0</v>
      </c>
      <c r="BK49" s="84" t="s">
        <v>383</v>
      </c>
      <c r="BL49" s="496"/>
      <c r="BM49" s="861"/>
      <c r="BN49" s="861"/>
      <c r="BO49" s="515"/>
      <c r="BP49" s="517"/>
      <c r="BQ49" s="515"/>
      <c r="BR49" s="516"/>
      <c r="BS49" s="517"/>
      <c r="BT49" s="107"/>
      <c r="BU49" s="108"/>
      <c r="BV49" s="798"/>
      <c r="BW49" s="489"/>
      <c r="BX49" s="811"/>
      <c r="BY49" s="803"/>
      <c r="BZ49" s="801"/>
      <c r="CA49" s="490"/>
      <c r="CB49" s="490"/>
      <c r="CC49" s="808"/>
      <c r="CD49" s="257"/>
      <c r="CE49" s="94"/>
      <c r="CF49" s="495"/>
      <c r="CG49" s="94"/>
      <c r="CH49" s="95"/>
      <c r="CI49" s="52"/>
    </row>
    <row r="50" spans="1:87" ht="30" customHeight="1" thickBot="1" x14ac:dyDescent="0.35">
      <c r="A50" s="60" t="str">
        <f t="shared" si="0"/>
        <v>Unitil</v>
      </c>
      <c r="B50" s="66" t="s">
        <v>383</v>
      </c>
      <c r="C50" s="66" t="s">
        <v>383</v>
      </c>
      <c r="D50" s="58" t="s">
        <v>422</v>
      </c>
      <c r="E50" s="58" t="s">
        <v>418</v>
      </c>
      <c r="F50" s="58" t="s">
        <v>423</v>
      </c>
      <c r="G50" s="58" t="s">
        <v>424</v>
      </c>
      <c r="H50" s="10" t="s">
        <v>387</v>
      </c>
      <c r="I50" s="14" t="s">
        <v>453</v>
      </c>
      <c r="J50" s="128" t="s">
        <v>454</v>
      </c>
      <c r="K50" s="833">
        <v>12.692</v>
      </c>
      <c r="L50" s="526">
        <v>6.2002521351590945</v>
      </c>
      <c r="M50" s="58">
        <v>1274</v>
      </c>
      <c r="N50" s="559">
        <v>2769256.042287745</v>
      </c>
      <c r="O50" s="527" t="s">
        <v>455</v>
      </c>
      <c r="P50" s="524">
        <v>2.1749999999999998</v>
      </c>
      <c r="Q50" s="608" t="s">
        <v>449</v>
      </c>
      <c r="R50" s="525" t="s">
        <v>449</v>
      </c>
      <c r="S50" s="18">
        <v>85</v>
      </c>
      <c r="T50" s="16">
        <f t="shared" ref="T50:V52" si="72">S50</f>
        <v>85</v>
      </c>
      <c r="U50" s="18">
        <v>0</v>
      </c>
      <c r="V50" s="16">
        <f t="shared" si="72"/>
        <v>0</v>
      </c>
      <c r="W50" s="18">
        <v>1</v>
      </c>
      <c r="X50" s="16">
        <f t="shared" ref="X50" si="73">W50</f>
        <v>1</v>
      </c>
      <c r="Y50" s="18">
        <v>0</v>
      </c>
      <c r="Z50" s="16">
        <f t="shared" ref="Z50" si="74">Y50</f>
        <v>0</v>
      </c>
      <c r="AA50" s="561">
        <v>495</v>
      </c>
      <c r="AB50" s="562"/>
      <c r="AC50" s="561">
        <f t="shared" ref="AC50:AC52" si="75">IF(U50=0,0)</f>
        <v>0</v>
      </c>
      <c r="AD50" s="562"/>
      <c r="AE50" s="561">
        <v>10</v>
      </c>
      <c r="AF50" s="562"/>
      <c r="AG50" s="561">
        <f t="shared" ref="AG50:AG52" si="76">IF(Y50=0,0)</f>
        <v>0</v>
      </c>
      <c r="AH50" s="562"/>
      <c r="AI50" s="563"/>
      <c r="AJ50" s="562"/>
      <c r="AK50" s="564"/>
      <c r="AL50" s="565"/>
      <c r="AM50" s="566"/>
      <c r="AN50" s="565"/>
      <c r="AO50" s="565"/>
      <c r="AP50" s="565"/>
      <c r="AQ50" s="565"/>
      <c r="AR50" s="565"/>
      <c r="AS50" s="565"/>
      <c r="AT50" s="492"/>
      <c r="AU50" s="493"/>
      <c r="AV50" s="493"/>
      <c r="AW50" s="493"/>
      <c r="AX50" s="493"/>
      <c r="AY50" s="493"/>
      <c r="AZ50" s="493"/>
      <c r="BA50" s="494"/>
      <c r="BB50" s="846">
        <f t="shared" si="4"/>
        <v>2769256.042287745</v>
      </c>
      <c r="BC50" s="84" t="s">
        <v>383</v>
      </c>
      <c r="BD50" s="638">
        <f t="shared" si="5"/>
        <v>2.1749999999999998</v>
      </c>
      <c r="BE50" s="84" t="s">
        <v>383</v>
      </c>
      <c r="BF50" s="639">
        <f t="shared" si="6"/>
        <v>422.96878263159317</v>
      </c>
      <c r="BG50" s="84" t="s">
        <v>383</v>
      </c>
      <c r="BH50" s="105">
        <v>0.95</v>
      </c>
      <c r="BI50" s="84" t="s">
        <v>383</v>
      </c>
      <c r="BJ50" s="640">
        <f t="shared" si="7"/>
        <v>517.57395430357963</v>
      </c>
      <c r="BK50" s="84" t="s">
        <v>383</v>
      </c>
      <c r="BL50" s="58">
        <v>2</v>
      </c>
      <c r="BM50" s="860">
        <v>0</v>
      </c>
      <c r="BN50" s="860">
        <f t="shared" si="8"/>
        <v>-2</v>
      </c>
      <c r="BO50" s="511" t="s">
        <v>387</v>
      </c>
      <c r="BP50" s="513">
        <f t="shared" ref="BP50:BP51" si="77">IF(BO50="Y",M50,IF(BO50="N",0))</f>
        <v>0</v>
      </c>
      <c r="BQ50" s="511"/>
      <c r="BR50" s="514"/>
      <c r="BS50" s="513"/>
      <c r="BT50" s="107"/>
      <c r="BU50" s="108"/>
      <c r="BV50" s="798">
        <v>4.87</v>
      </c>
      <c r="BW50" s="804">
        <f>'9. Pre-Investment Baselines'!AW45-BV50</f>
        <v>64.913330000000002</v>
      </c>
      <c r="BX50" s="811">
        <v>2.96</v>
      </c>
      <c r="BY50" s="803">
        <f>'9. Pre-Investment Baselines'!AX45-BX50</f>
        <v>0.92666700000000013</v>
      </c>
      <c r="BZ50" s="801">
        <v>0.111</v>
      </c>
      <c r="CA50" s="806">
        <f>'9. Pre-Investment Baselines'!AY45-BZ50</f>
        <v>0.95733329999999994</v>
      </c>
      <c r="CB50" s="490">
        <v>8.2000000000000003E-2</v>
      </c>
      <c r="CC50" s="808">
        <f>'9. Pre-Investment Baselines'!AZ45-CB50</f>
        <v>-1.3666700000000004E-2</v>
      </c>
      <c r="CD50" s="257"/>
      <c r="CE50" s="94"/>
      <c r="CF50" s="495"/>
      <c r="CG50" s="94"/>
      <c r="CH50" s="95"/>
      <c r="CI50" s="52"/>
    </row>
    <row r="51" spans="1:87" ht="30" customHeight="1" thickBot="1" x14ac:dyDescent="0.35">
      <c r="A51" s="60" t="str">
        <f t="shared" si="0"/>
        <v>Unitil</v>
      </c>
      <c r="B51" s="66" t="s">
        <v>383</v>
      </c>
      <c r="C51" s="66" t="s">
        <v>383</v>
      </c>
      <c r="D51" s="58" t="s">
        <v>422</v>
      </c>
      <c r="E51" s="58" t="s">
        <v>418</v>
      </c>
      <c r="F51" s="58" t="s">
        <v>425</v>
      </c>
      <c r="G51" s="58" t="s">
        <v>424</v>
      </c>
      <c r="H51" s="10" t="s">
        <v>387</v>
      </c>
      <c r="I51" s="14" t="s">
        <v>453</v>
      </c>
      <c r="J51" s="128" t="s">
        <v>454</v>
      </c>
      <c r="K51" s="833">
        <v>12.692</v>
      </c>
      <c r="L51" s="526">
        <v>22.797799354462125</v>
      </c>
      <c r="M51" s="58">
        <v>1253</v>
      </c>
      <c r="N51" s="559">
        <v>6290182.6176288854</v>
      </c>
      <c r="O51" s="527" t="s">
        <v>455</v>
      </c>
      <c r="P51" s="524">
        <v>3.5659999999999998</v>
      </c>
      <c r="Q51" s="608" t="s">
        <v>448</v>
      </c>
      <c r="R51" s="525" t="s">
        <v>449</v>
      </c>
      <c r="S51" s="18">
        <v>202</v>
      </c>
      <c r="T51" s="16">
        <f t="shared" si="72"/>
        <v>202</v>
      </c>
      <c r="U51" s="18">
        <v>0</v>
      </c>
      <c r="V51" s="16">
        <f t="shared" si="72"/>
        <v>0</v>
      </c>
      <c r="W51" s="18">
        <v>1</v>
      </c>
      <c r="X51" s="16">
        <f t="shared" ref="X51" si="78">W51</f>
        <v>1</v>
      </c>
      <c r="Y51" s="18">
        <v>0</v>
      </c>
      <c r="Z51" s="16">
        <f t="shared" ref="Z51" si="79">Y51</f>
        <v>0</v>
      </c>
      <c r="AA51" s="561">
        <v>10141</v>
      </c>
      <c r="AB51" s="562"/>
      <c r="AC51" s="561">
        <f t="shared" si="75"/>
        <v>0</v>
      </c>
      <c r="AD51" s="562"/>
      <c r="AE51" s="561">
        <v>6</v>
      </c>
      <c r="AF51" s="562"/>
      <c r="AG51" s="561">
        <f t="shared" si="76"/>
        <v>0</v>
      </c>
      <c r="AH51" s="562"/>
      <c r="AI51" s="563"/>
      <c r="AJ51" s="562"/>
      <c r="AK51" s="564"/>
      <c r="AL51" s="565"/>
      <c r="AM51" s="566"/>
      <c r="AN51" s="565"/>
      <c r="AO51" s="565"/>
      <c r="AP51" s="565"/>
      <c r="AQ51" s="565"/>
      <c r="AR51" s="565"/>
      <c r="AS51" s="565"/>
      <c r="AT51" s="492"/>
      <c r="AU51" s="493"/>
      <c r="AV51" s="493"/>
      <c r="AW51" s="493"/>
      <c r="AX51" s="493"/>
      <c r="AY51" s="493"/>
      <c r="AZ51" s="493"/>
      <c r="BA51" s="494"/>
      <c r="BB51" s="846">
        <f t="shared" si="4"/>
        <v>6290182.6176288854</v>
      </c>
      <c r="BC51" s="84" t="s">
        <v>383</v>
      </c>
      <c r="BD51" s="638">
        <f t="shared" si="5"/>
        <v>3.5659999999999998</v>
      </c>
      <c r="BE51" s="84" t="s">
        <v>383</v>
      </c>
      <c r="BF51" s="639">
        <f t="shared" si="6"/>
        <v>693.4743351100052</v>
      </c>
      <c r="BG51" s="84" t="s">
        <v>383</v>
      </c>
      <c r="BH51" s="105">
        <v>0.95</v>
      </c>
      <c r="BI51" s="84" t="s">
        <v>383</v>
      </c>
      <c r="BJ51" s="640">
        <f t="shared" si="7"/>
        <v>1175.6351312348386</v>
      </c>
      <c r="BK51" s="84" t="s">
        <v>383</v>
      </c>
      <c r="BL51" s="58">
        <v>0</v>
      </c>
      <c r="BM51" s="860">
        <v>1.666666666666667</v>
      </c>
      <c r="BN51" s="860">
        <f t="shared" si="8"/>
        <v>1.666666666666667</v>
      </c>
      <c r="BO51" s="511" t="s">
        <v>387</v>
      </c>
      <c r="BP51" s="513">
        <f t="shared" si="77"/>
        <v>0</v>
      </c>
      <c r="BQ51" s="511"/>
      <c r="BR51" s="514"/>
      <c r="BS51" s="513"/>
      <c r="BT51" s="107"/>
      <c r="BU51" s="108"/>
      <c r="BV51" s="798">
        <v>1191.3800000000001</v>
      </c>
      <c r="BW51" s="804">
        <f>'9. Pre-Investment Baselines'!AW46-BV51</f>
        <v>-953.86670000000015</v>
      </c>
      <c r="BX51" s="811">
        <v>40.54</v>
      </c>
      <c r="BY51" s="803">
        <f>'9. Pre-Investment Baselines'!AX46-BX51</f>
        <v>41.553329999999995</v>
      </c>
      <c r="BZ51" s="801">
        <v>2.25</v>
      </c>
      <c r="CA51" s="806">
        <f>'9. Pre-Investment Baselines'!AY46-BZ51</f>
        <v>0.6573332999999999</v>
      </c>
      <c r="CB51" s="490">
        <v>0.57199999999999995</v>
      </c>
      <c r="CC51" s="808">
        <f>'9. Pre-Investment Baselines'!AZ46-CB51</f>
        <v>0.94266670000000008</v>
      </c>
      <c r="CD51" s="257"/>
      <c r="CE51" s="94"/>
      <c r="CF51" s="495"/>
      <c r="CG51" s="94"/>
      <c r="CH51" s="95"/>
      <c r="CI51" s="52"/>
    </row>
    <row r="52" spans="1:87" ht="30" customHeight="1" x14ac:dyDescent="0.3">
      <c r="A52" s="60" t="str">
        <f t="shared" si="0"/>
        <v>Unitil</v>
      </c>
      <c r="B52" s="66" t="s">
        <v>383</v>
      </c>
      <c r="C52" s="66" t="s">
        <v>383</v>
      </c>
      <c r="D52" s="58" t="s">
        <v>422</v>
      </c>
      <c r="E52" s="58" t="s">
        <v>418</v>
      </c>
      <c r="F52" s="58" t="s">
        <v>426</v>
      </c>
      <c r="G52" s="58" t="s">
        <v>418</v>
      </c>
      <c r="H52" s="10" t="s">
        <v>387</v>
      </c>
      <c r="I52" s="14" t="s">
        <v>453</v>
      </c>
      <c r="J52" s="128" t="s">
        <v>454</v>
      </c>
      <c r="K52" s="833">
        <v>12.692</v>
      </c>
      <c r="L52" s="526">
        <v>18.674093194314395</v>
      </c>
      <c r="M52" s="58">
        <v>1291</v>
      </c>
      <c r="N52" s="559">
        <v>3971082.6184537867</v>
      </c>
      <c r="O52" s="527" t="s">
        <v>455</v>
      </c>
      <c r="P52" s="524">
        <v>2.5649999999999999</v>
      </c>
      <c r="Q52" s="608" t="s">
        <v>448</v>
      </c>
      <c r="R52" s="525" t="s">
        <v>449</v>
      </c>
      <c r="S52" s="18">
        <v>114</v>
      </c>
      <c r="T52" s="16">
        <f t="shared" si="72"/>
        <v>114</v>
      </c>
      <c r="U52" s="18">
        <v>0</v>
      </c>
      <c r="V52" s="16">
        <f t="shared" si="72"/>
        <v>0</v>
      </c>
      <c r="W52" s="18">
        <v>1</v>
      </c>
      <c r="X52" s="16">
        <f t="shared" ref="X52" si="80">W52</f>
        <v>1</v>
      </c>
      <c r="Y52" s="18">
        <v>0</v>
      </c>
      <c r="Z52" s="16">
        <f t="shared" ref="Z52" si="81">Y52</f>
        <v>0</v>
      </c>
      <c r="AA52" s="561">
        <v>2102</v>
      </c>
      <c r="AB52" s="562"/>
      <c r="AC52" s="561">
        <f t="shared" si="75"/>
        <v>0</v>
      </c>
      <c r="AD52" s="562"/>
      <c r="AE52" s="561">
        <v>999</v>
      </c>
      <c r="AF52" s="562"/>
      <c r="AG52" s="561">
        <f t="shared" si="76"/>
        <v>0</v>
      </c>
      <c r="AH52" s="562"/>
      <c r="AI52" s="563"/>
      <c r="AJ52" s="562"/>
      <c r="AK52" s="564"/>
      <c r="AL52" s="565"/>
      <c r="AM52" s="566"/>
      <c r="AN52" s="565"/>
      <c r="AO52" s="565"/>
      <c r="AP52" s="565"/>
      <c r="AQ52" s="565"/>
      <c r="AR52" s="565"/>
      <c r="AS52" s="565"/>
      <c r="AT52" s="492"/>
      <c r="AU52" s="493"/>
      <c r="AV52" s="493"/>
      <c r="AW52" s="493"/>
      <c r="AX52" s="493"/>
      <c r="AY52" s="493"/>
      <c r="AZ52" s="493"/>
      <c r="BA52" s="494"/>
      <c r="BB52" s="846">
        <f t="shared" si="4"/>
        <v>3971082.6184537867</v>
      </c>
      <c r="BC52" s="84" t="s">
        <v>383</v>
      </c>
      <c r="BD52" s="638">
        <f t="shared" si="5"/>
        <v>2.5649999999999999</v>
      </c>
      <c r="BE52" s="84" t="s">
        <v>383</v>
      </c>
      <c r="BF52" s="639">
        <f t="shared" si="6"/>
        <v>498.81146089656858</v>
      </c>
      <c r="BG52" s="84" t="s">
        <v>383</v>
      </c>
      <c r="BH52" s="105">
        <v>0.95</v>
      </c>
      <c r="BI52" s="84" t="s">
        <v>383</v>
      </c>
      <c r="BJ52" s="640">
        <f t="shared" si="7"/>
        <v>742.19534138901281</v>
      </c>
      <c r="BK52" s="84" t="s">
        <v>383</v>
      </c>
      <c r="BL52" s="58">
        <v>1</v>
      </c>
      <c r="BM52" s="860">
        <v>1.6666666666666667</v>
      </c>
      <c r="BN52" s="860">
        <f t="shared" si="8"/>
        <v>0.66666666666666674</v>
      </c>
      <c r="BO52" s="511" t="s">
        <v>387</v>
      </c>
      <c r="BP52" s="513">
        <f>IF(BO52="Y",M52,IF(BO52="N",0))</f>
        <v>0</v>
      </c>
      <c r="BQ52" s="511"/>
      <c r="BR52" s="514"/>
      <c r="BS52" s="513"/>
      <c r="BT52" s="107"/>
      <c r="BU52" s="108"/>
      <c r="BV52" s="798">
        <v>1973.62</v>
      </c>
      <c r="BW52" s="804">
        <f>'9. Pre-Investment Baselines'!AW47-BV52</f>
        <v>-1758.4399999999998</v>
      </c>
      <c r="BX52" s="811">
        <v>18.170000000000002</v>
      </c>
      <c r="BY52" s="803">
        <f>'9. Pre-Investment Baselines'!AX47-BX52</f>
        <v>22.11</v>
      </c>
      <c r="BZ52" s="801">
        <v>3.3380000000000001</v>
      </c>
      <c r="CA52" s="806">
        <f>'9. Pre-Investment Baselines'!AY47-BZ52</f>
        <v>-1.2663332999999999</v>
      </c>
      <c r="CB52" s="490">
        <v>0.33200000000000002</v>
      </c>
      <c r="CC52" s="808">
        <f>'9. Pre-Investment Baselines'!AZ47-CB52</f>
        <v>0.32466670000000003</v>
      </c>
      <c r="CD52" s="257"/>
      <c r="CE52" s="94"/>
      <c r="CF52" s="495"/>
      <c r="CG52" s="94"/>
      <c r="CH52" s="95"/>
      <c r="CI52" s="52"/>
    </row>
    <row r="53" spans="1:87" ht="30" customHeight="1" thickBot="1" x14ac:dyDescent="0.35">
      <c r="A53" s="60" t="str">
        <f t="shared" si="0"/>
        <v>Unitil</v>
      </c>
      <c r="B53" s="66" t="s">
        <v>383</v>
      </c>
      <c r="C53" s="66" t="s">
        <v>383</v>
      </c>
      <c r="D53" s="58" t="s">
        <v>422</v>
      </c>
      <c r="E53" s="58" t="s">
        <v>418</v>
      </c>
      <c r="F53" s="496"/>
      <c r="G53" s="496"/>
      <c r="H53" s="497"/>
      <c r="I53" s="529"/>
      <c r="J53" s="496"/>
      <c r="K53" s="834" t="s">
        <v>456</v>
      </c>
      <c r="L53" s="496"/>
      <c r="M53" s="496"/>
      <c r="N53" s="567"/>
      <c r="O53" s="530"/>
      <c r="P53" s="568"/>
      <c r="Q53" s="510"/>
      <c r="R53" s="531"/>
      <c r="S53" s="569"/>
      <c r="T53" s="569"/>
      <c r="U53" s="569"/>
      <c r="V53" s="569"/>
      <c r="W53" s="569"/>
      <c r="X53" s="569"/>
      <c r="Y53" s="569"/>
      <c r="Z53" s="569"/>
      <c r="AA53" s="569"/>
      <c r="AB53" s="569"/>
      <c r="AC53" s="569"/>
      <c r="AD53" s="569"/>
      <c r="AE53" s="569"/>
      <c r="AF53" s="569"/>
      <c r="AG53" s="569"/>
      <c r="AH53" s="569"/>
      <c r="AI53" s="569"/>
      <c r="AJ53" s="569"/>
      <c r="AK53" s="569"/>
      <c r="AL53" s="569"/>
      <c r="AM53" s="497"/>
      <c r="AN53" s="569"/>
      <c r="AO53" s="497"/>
      <c r="AP53" s="569"/>
      <c r="AQ53" s="497"/>
      <c r="AR53" s="569"/>
      <c r="AS53" s="497"/>
      <c r="AT53" s="492"/>
      <c r="AU53" s="493"/>
      <c r="AV53" s="493"/>
      <c r="AW53" s="493"/>
      <c r="AX53" s="493"/>
      <c r="AY53" s="493"/>
      <c r="AZ53" s="493"/>
      <c r="BA53" s="494"/>
      <c r="BB53" s="846"/>
      <c r="BC53" s="84" t="s">
        <v>383</v>
      </c>
      <c r="BD53" s="638">
        <f t="shared" si="5"/>
        <v>0</v>
      </c>
      <c r="BE53" s="84" t="s">
        <v>383</v>
      </c>
      <c r="BF53" s="639">
        <f t="shared" si="6"/>
        <v>0</v>
      </c>
      <c r="BG53" s="84" t="s">
        <v>383</v>
      </c>
      <c r="BH53" s="105"/>
      <c r="BI53" s="84" t="s">
        <v>383</v>
      </c>
      <c r="BJ53" s="640">
        <f t="shared" si="7"/>
        <v>0</v>
      </c>
      <c r="BK53" s="84" t="s">
        <v>383</v>
      </c>
      <c r="BL53" s="496"/>
      <c r="BM53" s="861"/>
      <c r="BN53" s="861"/>
      <c r="BO53" s="515"/>
      <c r="BP53" s="517"/>
      <c r="BQ53" s="515"/>
      <c r="BR53" s="516"/>
      <c r="BS53" s="517"/>
      <c r="BT53" s="107"/>
      <c r="BU53" s="108"/>
      <c r="BV53" s="798"/>
      <c r="BW53" s="489"/>
      <c r="BX53" s="811"/>
      <c r="BY53" s="803"/>
      <c r="BZ53" s="801"/>
      <c r="CA53" s="490"/>
      <c r="CB53" s="490"/>
      <c r="CC53" s="808"/>
      <c r="CD53" s="257"/>
      <c r="CE53" s="94"/>
      <c r="CF53" s="495"/>
      <c r="CG53" s="94"/>
      <c r="CH53" s="95"/>
      <c r="CI53" s="52"/>
    </row>
    <row r="54" spans="1:87" ht="30" customHeight="1" x14ac:dyDescent="0.3">
      <c r="A54" s="60" t="str">
        <f t="shared" si="0"/>
        <v>Unitil</v>
      </c>
      <c r="B54" s="66" t="s">
        <v>383</v>
      </c>
      <c r="C54" s="66" t="s">
        <v>383</v>
      </c>
      <c r="D54" s="58" t="s">
        <v>427</v>
      </c>
      <c r="E54" s="58" t="s">
        <v>385</v>
      </c>
      <c r="F54" s="58" t="s">
        <v>428</v>
      </c>
      <c r="G54" s="58" t="s">
        <v>429</v>
      </c>
      <c r="H54" s="10" t="s">
        <v>387</v>
      </c>
      <c r="I54" s="14" t="s">
        <v>453</v>
      </c>
      <c r="J54" s="128" t="s">
        <v>454</v>
      </c>
      <c r="K54" s="833">
        <v>5.2350000000000003</v>
      </c>
      <c r="L54" s="526">
        <v>22.870542880617403</v>
      </c>
      <c r="M54" s="58">
        <v>806</v>
      </c>
      <c r="N54" s="559">
        <v>5001029.5715110479</v>
      </c>
      <c r="O54" s="527" t="s">
        <v>455</v>
      </c>
      <c r="P54" s="524">
        <v>3.58</v>
      </c>
      <c r="Q54" s="608" t="s">
        <v>448</v>
      </c>
      <c r="R54" s="525" t="s">
        <v>449</v>
      </c>
      <c r="S54" s="18">
        <v>155</v>
      </c>
      <c r="T54" s="16">
        <f>S54</f>
        <v>155</v>
      </c>
      <c r="U54" s="18">
        <v>0</v>
      </c>
      <c r="V54" s="16">
        <f>U54</f>
        <v>0</v>
      </c>
      <c r="W54" s="18">
        <v>0</v>
      </c>
      <c r="X54" s="16">
        <f>W54</f>
        <v>0</v>
      </c>
      <c r="Y54" s="18">
        <v>0</v>
      </c>
      <c r="Z54" s="16">
        <f>Y54</f>
        <v>0</v>
      </c>
      <c r="AA54" s="561">
        <v>6852</v>
      </c>
      <c r="AB54" s="562"/>
      <c r="AC54" s="561">
        <f>IF(U54=0,0)</f>
        <v>0</v>
      </c>
      <c r="AD54" s="562"/>
      <c r="AE54" s="561">
        <f>IF(W54=0,0)</f>
        <v>0</v>
      </c>
      <c r="AF54" s="562"/>
      <c r="AG54" s="561">
        <f>IF(Y54=0,0)</f>
        <v>0</v>
      </c>
      <c r="AH54" s="562"/>
      <c r="AI54" s="563"/>
      <c r="AJ54" s="562"/>
      <c r="AK54" s="564"/>
      <c r="AL54" s="565"/>
      <c r="AM54" s="566"/>
      <c r="AN54" s="565"/>
      <c r="AO54" s="565"/>
      <c r="AP54" s="565"/>
      <c r="AQ54" s="565"/>
      <c r="AR54" s="565"/>
      <c r="AS54" s="565"/>
      <c r="AT54" s="492"/>
      <c r="AU54" s="493"/>
      <c r="AV54" s="493"/>
      <c r="AW54" s="493"/>
      <c r="AX54" s="493"/>
      <c r="AY54" s="493"/>
      <c r="AZ54" s="493"/>
      <c r="BA54" s="494"/>
      <c r="BB54" s="846">
        <f t="shared" si="4"/>
        <v>5001029.5715110479</v>
      </c>
      <c r="BC54" s="84" t="s">
        <v>383</v>
      </c>
      <c r="BD54" s="638">
        <f t="shared" si="5"/>
        <v>3.58</v>
      </c>
      <c r="BE54" s="84" t="s">
        <v>383</v>
      </c>
      <c r="BF54" s="639">
        <f t="shared" si="6"/>
        <v>696.19689279131217</v>
      </c>
      <c r="BG54" s="84" t="s">
        <v>383</v>
      </c>
      <c r="BH54" s="105">
        <v>0.95</v>
      </c>
      <c r="BI54" s="84" t="s">
        <v>383</v>
      </c>
      <c r="BJ54" s="640">
        <f t="shared" si="7"/>
        <v>934.6924269154149</v>
      </c>
      <c r="BK54" s="84" t="s">
        <v>383</v>
      </c>
      <c r="BL54" s="58">
        <v>2</v>
      </c>
      <c r="BM54" s="860">
        <v>0</v>
      </c>
      <c r="BN54" s="860">
        <f t="shared" si="8"/>
        <v>-2</v>
      </c>
      <c r="BO54" s="511" t="s">
        <v>387</v>
      </c>
      <c r="BP54" s="513">
        <f>IF(BO54="Y",M54,IF(BO54="N",0))</f>
        <v>0</v>
      </c>
      <c r="BQ54" s="511"/>
      <c r="BR54" s="514"/>
      <c r="BS54" s="513"/>
      <c r="BT54" s="107"/>
      <c r="BU54" s="108"/>
      <c r="BV54" s="798">
        <v>1814.65</v>
      </c>
      <c r="BW54" s="804">
        <f>'9. Pre-Investment Baselines'!AW49-BV54</f>
        <v>-1624.9267</v>
      </c>
      <c r="BX54" s="811">
        <v>119.36</v>
      </c>
      <c r="BY54" s="803">
        <f>'9. Pre-Investment Baselines'!AX49-BX54</f>
        <v>-77.99333</v>
      </c>
      <c r="BZ54" s="801">
        <v>5.4859999999999998</v>
      </c>
      <c r="CA54" s="806">
        <f>'9. Pre-Investment Baselines'!AY49-BZ54</f>
        <v>-3.9479999999999995</v>
      </c>
      <c r="CB54" s="490">
        <v>1.2050000000000001</v>
      </c>
      <c r="CC54" s="808">
        <f>'9. Pre-Investment Baselines'!AZ49-CB54</f>
        <v>-0.54733330000000002</v>
      </c>
      <c r="CD54" s="257"/>
      <c r="CE54" s="94"/>
      <c r="CF54" s="495"/>
      <c r="CG54" s="94"/>
      <c r="CH54" s="95"/>
      <c r="CI54" s="52"/>
    </row>
    <row r="55" spans="1:87" ht="30" customHeight="1" thickBot="1" x14ac:dyDescent="0.35">
      <c r="A55" s="60" t="str">
        <f t="shared" si="0"/>
        <v>Unitil</v>
      </c>
      <c r="B55" s="66" t="s">
        <v>383</v>
      </c>
      <c r="C55" s="66" t="s">
        <v>383</v>
      </c>
      <c r="D55" s="58" t="s">
        <v>427</v>
      </c>
      <c r="E55" s="58" t="s">
        <v>385</v>
      </c>
      <c r="F55" s="496"/>
      <c r="G55" s="496"/>
      <c r="H55" s="497"/>
      <c r="I55" s="529"/>
      <c r="J55" s="496"/>
      <c r="K55" s="834" t="s">
        <v>456</v>
      </c>
      <c r="L55" s="496" t="s">
        <v>456</v>
      </c>
      <c r="M55" s="496"/>
      <c r="N55" s="567"/>
      <c r="O55" s="530"/>
      <c r="P55" s="568"/>
      <c r="Q55" s="510"/>
      <c r="R55" s="531"/>
      <c r="S55" s="569"/>
      <c r="T55" s="569"/>
      <c r="U55" s="569"/>
      <c r="V55" s="569"/>
      <c r="W55" s="569"/>
      <c r="X55" s="569"/>
      <c r="Y55" s="569"/>
      <c r="Z55" s="569"/>
      <c r="AA55" s="569"/>
      <c r="AB55" s="569"/>
      <c r="AC55" s="569"/>
      <c r="AD55" s="569"/>
      <c r="AE55" s="569"/>
      <c r="AF55" s="569"/>
      <c r="AG55" s="569"/>
      <c r="AH55" s="569"/>
      <c r="AI55" s="569"/>
      <c r="AJ55" s="569"/>
      <c r="AK55" s="569"/>
      <c r="AL55" s="569"/>
      <c r="AM55" s="497"/>
      <c r="AN55" s="569"/>
      <c r="AO55" s="497"/>
      <c r="AP55" s="569"/>
      <c r="AQ55" s="497"/>
      <c r="AR55" s="569"/>
      <c r="AS55" s="497"/>
      <c r="AT55" s="492"/>
      <c r="AU55" s="493"/>
      <c r="AV55" s="493"/>
      <c r="AW55" s="493"/>
      <c r="AX55" s="493"/>
      <c r="AY55" s="493"/>
      <c r="AZ55" s="493"/>
      <c r="BA55" s="494"/>
      <c r="BB55" s="846"/>
      <c r="BC55" s="84" t="s">
        <v>383</v>
      </c>
      <c r="BD55" s="638">
        <f t="shared" si="5"/>
        <v>0</v>
      </c>
      <c r="BE55" s="84" t="s">
        <v>383</v>
      </c>
      <c r="BF55" s="639">
        <f t="shared" si="6"/>
        <v>0</v>
      </c>
      <c r="BG55" s="84" t="s">
        <v>383</v>
      </c>
      <c r="BH55" s="105"/>
      <c r="BI55" s="84" t="s">
        <v>383</v>
      </c>
      <c r="BJ55" s="640">
        <f t="shared" si="7"/>
        <v>0</v>
      </c>
      <c r="BK55" s="84" t="s">
        <v>383</v>
      </c>
      <c r="BL55" s="496"/>
      <c r="BM55" s="861"/>
      <c r="BN55" s="861"/>
      <c r="BO55" s="515"/>
      <c r="BP55" s="517"/>
      <c r="BQ55" s="515"/>
      <c r="BR55" s="516"/>
      <c r="BS55" s="517"/>
      <c r="BT55" s="107"/>
      <c r="BU55" s="108"/>
      <c r="BV55" s="798"/>
      <c r="BW55" s="489"/>
      <c r="BX55" s="811"/>
      <c r="BY55" s="803"/>
      <c r="BZ55" s="801"/>
      <c r="CA55" s="490"/>
      <c r="CB55" s="490"/>
      <c r="CC55" s="808"/>
      <c r="CD55" s="257"/>
      <c r="CE55" s="94"/>
      <c r="CF55" s="495"/>
      <c r="CG55" s="94"/>
      <c r="CH55" s="95"/>
      <c r="CI55" s="52"/>
    </row>
    <row r="56" spans="1:87" ht="30" customHeight="1" thickBot="1" x14ac:dyDescent="0.35">
      <c r="A56" s="60" t="str">
        <f t="shared" si="0"/>
        <v>Unitil</v>
      </c>
      <c r="B56" s="66" t="s">
        <v>383</v>
      </c>
      <c r="C56" s="66" t="s">
        <v>383</v>
      </c>
      <c r="D56" s="58" t="s">
        <v>430</v>
      </c>
      <c r="E56" s="58" t="s">
        <v>395</v>
      </c>
      <c r="F56" s="58" t="s">
        <v>431</v>
      </c>
      <c r="G56" s="58" t="s">
        <v>399</v>
      </c>
      <c r="H56" s="10" t="s">
        <v>387</v>
      </c>
      <c r="I56" s="14" t="s">
        <v>453</v>
      </c>
      <c r="J56" s="128" t="s">
        <v>454</v>
      </c>
      <c r="K56" s="833">
        <v>12.692</v>
      </c>
      <c r="L56" s="526">
        <v>51.589405273677976</v>
      </c>
      <c r="M56" s="58">
        <v>1980</v>
      </c>
      <c r="N56" s="559">
        <v>6188335.7004721658</v>
      </c>
      <c r="O56" s="527" t="s">
        <v>455</v>
      </c>
      <c r="P56" s="524">
        <v>4.157</v>
      </c>
      <c r="Q56" s="608" t="s">
        <v>448</v>
      </c>
      <c r="R56" s="528" t="s">
        <v>449</v>
      </c>
      <c r="S56" s="18">
        <v>240</v>
      </c>
      <c r="T56" s="16">
        <f>S56</f>
        <v>240</v>
      </c>
      <c r="U56" s="18">
        <v>0</v>
      </c>
      <c r="V56" s="16">
        <f>U56</f>
        <v>0</v>
      </c>
      <c r="W56" s="18">
        <v>1</v>
      </c>
      <c r="X56" s="16">
        <f>W56</f>
        <v>1</v>
      </c>
      <c r="Y56" s="18"/>
      <c r="Z56" s="16">
        <f>Y56</f>
        <v>0</v>
      </c>
      <c r="AA56" s="561">
        <v>3485</v>
      </c>
      <c r="AB56" s="562"/>
      <c r="AC56" s="561">
        <f t="shared" ref="AC56:AC57" si="82">IF(U56=0,0)</f>
        <v>0</v>
      </c>
      <c r="AD56" s="562"/>
      <c r="AE56" s="561">
        <v>8</v>
      </c>
      <c r="AF56" s="562"/>
      <c r="AG56" s="561">
        <f t="shared" ref="AG56:AG57" si="83">IF(Y56=0,0)</f>
        <v>0</v>
      </c>
      <c r="AH56" s="562"/>
      <c r="AI56" s="563"/>
      <c r="AJ56" s="562"/>
      <c r="AK56" s="564"/>
      <c r="AL56" s="565"/>
      <c r="AM56" s="566"/>
      <c r="AN56" s="565"/>
      <c r="AO56" s="565"/>
      <c r="AP56" s="565"/>
      <c r="AQ56" s="565"/>
      <c r="AR56" s="565"/>
      <c r="AS56" s="565"/>
      <c r="AT56" s="492"/>
      <c r="AU56" s="493"/>
      <c r="AV56" s="493"/>
      <c r="AW56" s="493"/>
      <c r="AX56" s="493"/>
      <c r="AY56" s="493"/>
      <c r="AZ56" s="493"/>
      <c r="BA56" s="494"/>
      <c r="BB56" s="846">
        <f t="shared" si="4"/>
        <v>6188335.7004721658</v>
      </c>
      <c r="BC56" s="84" t="s">
        <v>383</v>
      </c>
      <c r="BD56" s="638">
        <f t="shared" si="5"/>
        <v>4.157</v>
      </c>
      <c r="BE56" s="84" t="s">
        <v>383</v>
      </c>
      <c r="BF56" s="639">
        <f t="shared" si="6"/>
        <v>808.40516294231406</v>
      </c>
      <c r="BG56" s="84" t="s">
        <v>383</v>
      </c>
      <c r="BH56" s="105">
        <v>0.95</v>
      </c>
      <c r="BI56" s="84" t="s">
        <v>383</v>
      </c>
      <c r="BJ56" s="640">
        <f t="shared" si="7"/>
        <v>1156.5999424182478</v>
      </c>
      <c r="BK56" s="84" t="s">
        <v>383</v>
      </c>
      <c r="BL56" s="58">
        <v>7</v>
      </c>
      <c r="BM56" s="860">
        <v>0</v>
      </c>
      <c r="BN56" s="860">
        <f t="shared" si="8"/>
        <v>-7</v>
      </c>
      <c r="BO56" s="511" t="s">
        <v>387</v>
      </c>
      <c r="BP56" s="513">
        <f t="shared" ref="BP56:BP57" si="84">IF(BO56="Y",M56,IF(BO56="N",0))</f>
        <v>0</v>
      </c>
      <c r="BQ56" s="511"/>
      <c r="BR56" s="514"/>
      <c r="BS56" s="513"/>
      <c r="BT56" s="107"/>
      <c r="BU56" s="108"/>
      <c r="BV56" s="798">
        <v>2499.9</v>
      </c>
      <c r="BW56" s="804">
        <f>'9. Pre-Investment Baselines'!AW51-BV56</f>
        <v>-2270.6633000000002</v>
      </c>
      <c r="BX56" s="811">
        <v>93.38</v>
      </c>
      <c r="BY56" s="803">
        <f>'9. Pre-Investment Baselines'!AX51-BX56</f>
        <v>-24.446669999999997</v>
      </c>
      <c r="BZ56" s="801">
        <v>3.4660000000000002</v>
      </c>
      <c r="CA56" s="806">
        <f>'9. Pre-Investment Baselines'!AY51-BZ56</f>
        <v>-1.2253333000000004</v>
      </c>
      <c r="CB56" s="490">
        <v>1.702</v>
      </c>
      <c r="CC56" s="808">
        <f>'9. Pre-Investment Baselines'!AZ51-CB56</f>
        <v>-0.84066669999999999</v>
      </c>
      <c r="CD56" s="257"/>
      <c r="CE56" s="94"/>
      <c r="CF56" s="495"/>
      <c r="CG56" s="94"/>
      <c r="CH56" s="95"/>
      <c r="CI56" s="52"/>
    </row>
    <row r="57" spans="1:87" ht="30" customHeight="1" x14ac:dyDescent="0.3">
      <c r="A57" s="60" t="str">
        <f t="shared" si="0"/>
        <v>Unitil</v>
      </c>
      <c r="B57" s="66" t="s">
        <v>383</v>
      </c>
      <c r="C57" s="66" t="s">
        <v>383</v>
      </c>
      <c r="D57" s="58" t="s">
        <v>430</v>
      </c>
      <c r="E57" s="58" t="s">
        <v>395</v>
      </c>
      <c r="F57" s="58" t="s">
        <v>432</v>
      </c>
      <c r="G57" s="58" t="s">
        <v>433</v>
      </c>
      <c r="H57" s="10" t="s">
        <v>387</v>
      </c>
      <c r="I57" s="14" t="s">
        <v>453</v>
      </c>
      <c r="J57" s="128" t="s">
        <v>454</v>
      </c>
      <c r="K57" s="833">
        <v>9.5609999999999999</v>
      </c>
      <c r="L57" s="526">
        <v>61.854570848816266</v>
      </c>
      <c r="M57" s="58">
        <v>1337</v>
      </c>
      <c r="N57" s="559">
        <v>3897330.6175468825</v>
      </c>
      <c r="O57" s="527" t="s">
        <v>455</v>
      </c>
      <c r="P57" s="524">
        <v>2.738</v>
      </c>
      <c r="Q57" s="608" t="s">
        <v>448</v>
      </c>
      <c r="R57" s="528" t="s">
        <v>449</v>
      </c>
      <c r="S57" s="18">
        <v>250</v>
      </c>
      <c r="T57" s="16">
        <f>S57</f>
        <v>250</v>
      </c>
      <c r="U57" s="18">
        <v>0</v>
      </c>
      <c r="V57" s="16">
        <f>U57</f>
        <v>0</v>
      </c>
      <c r="W57" s="18">
        <v>3</v>
      </c>
      <c r="X57" s="16">
        <f>W57</f>
        <v>3</v>
      </c>
      <c r="Y57" s="18"/>
      <c r="Z57" s="16">
        <f>Y57</f>
        <v>0</v>
      </c>
      <c r="AA57" s="561">
        <v>3793</v>
      </c>
      <c r="AB57" s="562"/>
      <c r="AC57" s="561">
        <f t="shared" si="82"/>
        <v>0</v>
      </c>
      <c r="AD57" s="562"/>
      <c r="AE57" s="561">
        <v>25</v>
      </c>
      <c r="AF57" s="562"/>
      <c r="AG57" s="561">
        <f t="shared" si="83"/>
        <v>0</v>
      </c>
      <c r="AH57" s="562"/>
      <c r="AI57" s="563"/>
      <c r="AJ57" s="562"/>
      <c r="AK57" s="564"/>
      <c r="AL57" s="565"/>
      <c r="AM57" s="566"/>
      <c r="AN57" s="565"/>
      <c r="AO57" s="565"/>
      <c r="AP57" s="565"/>
      <c r="AQ57" s="565"/>
      <c r="AR57" s="565"/>
      <c r="AS57" s="565"/>
      <c r="AT57" s="492"/>
      <c r="AU57" s="493"/>
      <c r="AV57" s="493"/>
      <c r="AW57" s="493"/>
      <c r="AX57" s="493"/>
      <c r="AY57" s="493"/>
      <c r="AZ57" s="493"/>
      <c r="BA57" s="494"/>
      <c r="BB57" s="846">
        <f t="shared" si="4"/>
        <v>3897330.6175468825</v>
      </c>
      <c r="BC57" s="84" t="s">
        <v>383</v>
      </c>
      <c r="BD57" s="638">
        <f t="shared" si="5"/>
        <v>2.738</v>
      </c>
      <c r="BE57" s="84" t="s">
        <v>383</v>
      </c>
      <c r="BF57" s="639">
        <f t="shared" si="6"/>
        <v>532.45449510128844</v>
      </c>
      <c r="BG57" s="84" t="s">
        <v>383</v>
      </c>
      <c r="BH57" s="105">
        <v>0.95</v>
      </c>
      <c r="BI57" s="84" t="s">
        <v>383</v>
      </c>
      <c r="BJ57" s="640">
        <f t="shared" si="7"/>
        <v>728.41109241951233</v>
      </c>
      <c r="BK57" s="84" t="s">
        <v>383</v>
      </c>
      <c r="BL57" s="58">
        <v>6</v>
      </c>
      <c r="BM57" s="860">
        <v>3</v>
      </c>
      <c r="BN57" s="860">
        <f t="shared" si="8"/>
        <v>-3</v>
      </c>
      <c r="BO57" s="511" t="s">
        <v>387</v>
      </c>
      <c r="BP57" s="513">
        <f t="shared" si="84"/>
        <v>0</v>
      </c>
      <c r="BQ57" s="511"/>
      <c r="BR57" s="514"/>
      <c r="BS57" s="513"/>
      <c r="BT57" s="107"/>
      <c r="BU57" s="108"/>
      <c r="BV57" s="798">
        <v>2397.12</v>
      </c>
      <c r="BW57" s="804">
        <f>'9. Pre-Investment Baselines'!AW52-BV57</f>
        <v>-1982.5132999999998</v>
      </c>
      <c r="BX57" s="811">
        <v>242.46</v>
      </c>
      <c r="BY57" s="803">
        <f>'9. Pre-Investment Baselines'!AX52-BX57</f>
        <v>-143.09</v>
      </c>
      <c r="BZ57" s="801">
        <v>7.0389999999999997</v>
      </c>
      <c r="CA57" s="806">
        <f>'9. Pre-Investment Baselines'!AY52-BZ57</f>
        <v>-4.1169999999999991</v>
      </c>
      <c r="CB57" s="490">
        <v>4.5970000000000004</v>
      </c>
      <c r="CC57" s="808">
        <f>'9. Pre-Investment Baselines'!AZ52-CB57</f>
        <v>-3.2603333000000001</v>
      </c>
      <c r="CD57" s="257"/>
      <c r="CE57" s="94"/>
      <c r="CF57" s="495"/>
      <c r="CG57" s="94"/>
      <c r="CH57" s="95"/>
      <c r="CI57" s="52"/>
    </row>
    <row r="58" spans="1:87" ht="30" customHeight="1" thickBot="1" x14ac:dyDescent="0.35">
      <c r="A58" s="60" t="str">
        <f t="shared" si="0"/>
        <v>Unitil</v>
      </c>
      <c r="B58" s="66" t="s">
        <v>383</v>
      </c>
      <c r="C58" s="66" t="s">
        <v>383</v>
      </c>
      <c r="D58" s="58" t="s">
        <v>430</v>
      </c>
      <c r="E58" s="58" t="s">
        <v>395</v>
      </c>
      <c r="F58" s="496"/>
      <c r="G58" s="496"/>
      <c r="H58" s="497"/>
      <c r="I58" s="529"/>
      <c r="J58" s="496"/>
      <c r="K58" s="834" t="s">
        <v>456</v>
      </c>
      <c r="L58" s="496" t="s">
        <v>456</v>
      </c>
      <c r="M58" s="496"/>
      <c r="N58" s="567"/>
      <c r="O58" s="530"/>
      <c r="P58" s="568"/>
      <c r="Q58" s="510"/>
      <c r="R58" s="531"/>
      <c r="S58" s="569"/>
      <c r="T58" s="569"/>
      <c r="U58" s="569"/>
      <c r="V58" s="569"/>
      <c r="W58" s="569"/>
      <c r="X58" s="569"/>
      <c r="Y58" s="569"/>
      <c r="Z58" s="569"/>
      <c r="AA58" s="569"/>
      <c r="AB58" s="569"/>
      <c r="AC58" s="569"/>
      <c r="AD58" s="569"/>
      <c r="AE58" s="569"/>
      <c r="AF58" s="569"/>
      <c r="AG58" s="569"/>
      <c r="AH58" s="569"/>
      <c r="AI58" s="569"/>
      <c r="AJ58" s="569"/>
      <c r="AK58" s="569"/>
      <c r="AL58" s="569"/>
      <c r="AM58" s="497"/>
      <c r="AN58" s="569"/>
      <c r="AO58" s="497"/>
      <c r="AP58" s="569"/>
      <c r="AQ58" s="497"/>
      <c r="AR58" s="569"/>
      <c r="AS58" s="497"/>
      <c r="AT58" s="492"/>
      <c r="AU58" s="493"/>
      <c r="AV58" s="493"/>
      <c r="AW58" s="493"/>
      <c r="AX58" s="493"/>
      <c r="AY58" s="493"/>
      <c r="AZ58" s="493"/>
      <c r="BA58" s="494"/>
      <c r="BB58" s="846"/>
      <c r="BC58" s="84" t="s">
        <v>383</v>
      </c>
      <c r="BD58" s="638">
        <f t="shared" si="5"/>
        <v>0</v>
      </c>
      <c r="BE58" s="84" t="s">
        <v>383</v>
      </c>
      <c r="BF58" s="639">
        <f t="shared" si="6"/>
        <v>0</v>
      </c>
      <c r="BG58" s="84" t="s">
        <v>383</v>
      </c>
      <c r="BH58" s="105"/>
      <c r="BI58" s="84" t="s">
        <v>383</v>
      </c>
      <c r="BJ58" s="640">
        <f t="shared" si="7"/>
        <v>0</v>
      </c>
      <c r="BK58" s="84" t="s">
        <v>383</v>
      </c>
      <c r="BL58" s="496"/>
      <c r="BM58" s="861"/>
      <c r="BN58" s="861"/>
      <c r="BO58" s="515"/>
      <c r="BP58" s="517"/>
      <c r="BQ58" s="515"/>
      <c r="BR58" s="516"/>
      <c r="BS58" s="517"/>
      <c r="BT58" s="107"/>
      <c r="BU58" s="108"/>
      <c r="BV58" s="798"/>
      <c r="BW58" s="489"/>
      <c r="BX58" s="811"/>
      <c r="BY58" s="803"/>
      <c r="BZ58" s="801"/>
      <c r="CA58" s="490"/>
      <c r="CB58" s="490"/>
      <c r="CC58" s="808"/>
      <c r="CD58" s="257"/>
      <c r="CE58" s="94"/>
      <c r="CF58" s="495"/>
      <c r="CG58" s="94"/>
      <c r="CH58" s="95"/>
      <c r="CI58" s="52"/>
    </row>
    <row r="59" spans="1:87" ht="30" customHeight="1" thickBot="1" x14ac:dyDescent="0.35">
      <c r="A59" s="60" t="str">
        <f t="shared" si="0"/>
        <v>Unitil</v>
      </c>
      <c r="B59" s="66" t="s">
        <v>383</v>
      </c>
      <c r="C59" s="66" t="s">
        <v>383</v>
      </c>
      <c r="D59" s="58" t="s">
        <v>434</v>
      </c>
      <c r="E59" s="58" t="s">
        <v>385</v>
      </c>
      <c r="F59" s="58" t="s">
        <v>435</v>
      </c>
      <c r="G59" s="58" t="s">
        <v>385</v>
      </c>
      <c r="H59" s="10" t="s">
        <v>387</v>
      </c>
      <c r="I59" s="14" t="s">
        <v>453</v>
      </c>
      <c r="J59" s="128" t="s">
        <v>454</v>
      </c>
      <c r="K59" s="833">
        <v>7.673</v>
      </c>
      <c r="L59" s="526">
        <v>1.06</v>
      </c>
      <c r="M59" s="58">
        <v>49</v>
      </c>
      <c r="N59" s="559">
        <v>170904.65818467404</v>
      </c>
      <c r="O59" s="527" t="s">
        <v>455</v>
      </c>
      <c r="P59" s="524">
        <v>0.17100000000000001</v>
      </c>
      <c r="Q59" s="608" t="s">
        <v>448</v>
      </c>
      <c r="R59" s="528" t="s">
        <v>448</v>
      </c>
      <c r="S59" s="18">
        <v>1</v>
      </c>
      <c r="T59" s="16">
        <f t="shared" ref="T59:V64" si="85">S59</f>
        <v>1</v>
      </c>
      <c r="U59" s="18">
        <v>0</v>
      </c>
      <c r="V59" s="16">
        <f t="shared" si="85"/>
        <v>0</v>
      </c>
      <c r="W59" s="18">
        <v>0</v>
      </c>
      <c r="X59" s="16">
        <f t="shared" ref="X59" si="86">W59</f>
        <v>0</v>
      </c>
      <c r="Y59" s="18">
        <v>0</v>
      </c>
      <c r="Z59" s="16">
        <f t="shared" ref="Z59" si="87">Y59</f>
        <v>0</v>
      </c>
      <c r="AA59" s="561">
        <v>6</v>
      </c>
      <c r="AB59" s="562"/>
      <c r="AC59" s="561">
        <f t="shared" ref="AC59:AC64" si="88">IF(U59=0,0)</f>
        <v>0</v>
      </c>
      <c r="AD59" s="562"/>
      <c r="AE59" s="561">
        <f t="shared" ref="AE59:AE64" si="89">IF(W59=0,0)</f>
        <v>0</v>
      </c>
      <c r="AF59" s="562"/>
      <c r="AG59" s="561">
        <f t="shared" ref="AG59:AG64" si="90">IF(Y59=0,0)</f>
        <v>0</v>
      </c>
      <c r="AH59" s="562"/>
      <c r="AI59" s="563"/>
      <c r="AJ59" s="562"/>
      <c r="AK59" s="564"/>
      <c r="AL59" s="565"/>
      <c r="AM59" s="566"/>
      <c r="AN59" s="565"/>
      <c r="AO59" s="565"/>
      <c r="AP59" s="565"/>
      <c r="AQ59" s="565"/>
      <c r="AR59" s="565"/>
      <c r="AS59" s="565"/>
      <c r="AT59" s="492"/>
      <c r="AU59" s="493"/>
      <c r="AV59" s="493"/>
      <c r="AW59" s="493"/>
      <c r="AX59" s="493"/>
      <c r="AY59" s="493"/>
      <c r="AZ59" s="493"/>
      <c r="BA59" s="494"/>
      <c r="BB59" s="846">
        <f t="shared" si="4"/>
        <v>170904.65818467404</v>
      </c>
      <c r="BC59" s="84" t="s">
        <v>383</v>
      </c>
      <c r="BD59" s="638">
        <f t="shared" si="5"/>
        <v>0.17100000000000001</v>
      </c>
      <c r="BE59" s="84" t="s">
        <v>383</v>
      </c>
      <c r="BF59" s="639">
        <f t="shared" si="6"/>
        <v>33.25409739310458</v>
      </c>
      <c r="BG59" s="84" t="s">
        <v>383</v>
      </c>
      <c r="BH59" s="105">
        <v>0.95</v>
      </c>
      <c r="BI59" s="84" t="s">
        <v>383</v>
      </c>
      <c r="BJ59" s="640">
        <f t="shared" si="7"/>
        <v>31.942080614715582</v>
      </c>
      <c r="BK59" s="84" t="s">
        <v>383</v>
      </c>
      <c r="BL59" s="58">
        <v>0</v>
      </c>
      <c r="BM59" s="860">
        <v>0</v>
      </c>
      <c r="BN59" s="860">
        <f t="shared" si="8"/>
        <v>0</v>
      </c>
      <c r="BO59" s="518" t="s">
        <v>451</v>
      </c>
      <c r="BP59" s="513">
        <f t="shared" ref="BP59:BP64" si="91">IF(BO59="Y",M59,IF(BO59="N",0))</f>
        <v>49</v>
      </c>
      <c r="BQ59" s="511"/>
      <c r="BR59" s="514"/>
      <c r="BS59" s="513"/>
      <c r="BT59" s="107"/>
      <c r="BU59" s="108"/>
      <c r="BV59" s="798">
        <v>31.44</v>
      </c>
      <c r="BW59" s="804">
        <f>'9. Pre-Investment Baselines'!AW54-BV59</f>
        <v>84.143299999999996</v>
      </c>
      <c r="BX59" s="811">
        <v>31.44</v>
      </c>
      <c r="BY59" s="803">
        <f>'9. Pre-Investment Baselines'!AX54-BX59</f>
        <v>34.81</v>
      </c>
      <c r="BZ59" s="801">
        <v>0.79600000000000004</v>
      </c>
      <c r="CA59" s="806">
        <f>'9. Pre-Investment Baselines'!AY54-BZ59</f>
        <v>0.28733330000000001</v>
      </c>
      <c r="CB59" s="490">
        <v>0.79600000000000004</v>
      </c>
      <c r="CC59" s="808">
        <f>'9. Pre-Investment Baselines'!AZ54-CB59</f>
        <v>-4.6000000000000041E-2</v>
      </c>
      <c r="CD59" s="257"/>
      <c r="CE59" s="94"/>
      <c r="CF59" s="495"/>
      <c r="CG59" s="94"/>
      <c r="CH59" s="95"/>
      <c r="CI59" s="52"/>
    </row>
    <row r="60" spans="1:87" ht="30" customHeight="1" thickBot="1" x14ac:dyDescent="0.35">
      <c r="A60" s="60" t="str">
        <f t="shared" si="0"/>
        <v>Unitil</v>
      </c>
      <c r="B60" s="66" t="s">
        <v>383</v>
      </c>
      <c r="C60" s="66" t="s">
        <v>383</v>
      </c>
      <c r="D60" s="58" t="s">
        <v>434</v>
      </c>
      <c r="E60" s="58" t="s">
        <v>385</v>
      </c>
      <c r="F60" s="58" t="s">
        <v>436</v>
      </c>
      <c r="G60" s="58" t="s">
        <v>385</v>
      </c>
      <c r="H60" s="10" t="s">
        <v>387</v>
      </c>
      <c r="I60" s="14" t="s">
        <v>453</v>
      </c>
      <c r="J60" s="128" t="s">
        <v>454</v>
      </c>
      <c r="K60" s="833">
        <v>9.5609999999999999</v>
      </c>
      <c r="L60" s="526">
        <v>8.0478286264507606</v>
      </c>
      <c r="M60" s="58">
        <v>404</v>
      </c>
      <c r="N60" s="559">
        <v>6301667.1409842828</v>
      </c>
      <c r="O60" s="527" t="s">
        <v>455</v>
      </c>
      <c r="P60" s="524">
        <v>4.95</v>
      </c>
      <c r="Q60" s="608" t="s">
        <v>448</v>
      </c>
      <c r="R60" s="528" t="s">
        <v>448</v>
      </c>
      <c r="S60" s="18">
        <v>8</v>
      </c>
      <c r="T60" s="16">
        <f t="shared" si="85"/>
        <v>8</v>
      </c>
      <c r="U60" s="18">
        <v>0</v>
      </c>
      <c r="V60" s="16">
        <f t="shared" si="85"/>
        <v>0</v>
      </c>
      <c r="W60" s="18">
        <v>0</v>
      </c>
      <c r="X60" s="16">
        <f t="shared" ref="X60" si="92">W60</f>
        <v>0</v>
      </c>
      <c r="Y60" s="18">
        <v>0</v>
      </c>
      <c r="Z60" s="16">
        <f t="shared" ref="Z60" si="93">Y60</f>
        <v>0</v>
      </c>
      <c r="AA60" s="561">
        <v>1059</v>
      </c>
      <c r="AB60" s="562"/>
      <c r="AC60" s="561">
        <f t="shared" si="88"/>
        <v>0</v>
      </c>
      <c r="AD60" s="562"/>
      <c r="AE60" s="561">
        <f t="shared" si="89"/>
        <v>0</v>
      </c>
      <c r="AF60" s="562"/>
      <c r="AG60" s="561">
        <f t="shared" si="90"/>
        <v>0</v>
      </c>
      <c r="AH60" s="562"/>
      <c r="AI60" s="563"/>
      <c r="AJ60" s="562"/>
      <c r="AK60" s="564"/>
      <c r="AL60" s="565"/>
      <c r="AM60" s="566"/>
      <c r="AN60" s="565"/>
      <c r="AO60" s="565"/>
      <c r="AP60" s="565"/>
      <c r="AQ60" s="565"/>
      <c r="AR60" s="565"/>
      <c r="AS60" s="565"/>
      <c r="AT60" s="492"/>
      <c r="AU60" s="493"/>
      <c r="AV60" s="493"/>
      <c r="AW60" s="493"/>
      <c r="AX60" s="493"/>
      <c r="AY60" s="493"/>
      <c r="AZ60" s="493"/>
      <c r="BA60" s="494"/>
      <c r="BB60" s="846">
        <f t="shared" si="4"/>
        <v>6301667.1409842828</v>
      </c>
      <c r="BC60" s="84" t="s">
        <v>383</v>
      </c>
      <c r="BD60" s="638">
        <f t="shared" si="5"/>
        <v>4.95</v>
      </c>
      <c r="BE60" s="84" t="s">
        <v>383</v>
      </c>
      <c r="BF60" s="639">
        <f t="shared" si="6"/>
        <v>962.61860874776414</v>
      </c>
      <c r="BG60" s="84" t="s">
        <v>383</v>
      </c>
      <c r="BH60" s="105">
        <v>0.95</v>
      </c>
      <c r="BI60" s="84" t="s">
        <v>383</v>
      </c>
      <c r="BJ60" s="640">
        <f t="shared" si="7"/>
        <v>1177.7815886499625</v>
      </c>
      <c r="BK60" s="84" t="s">
        <v>383</v>
      </c>
      <c r="BL60" s="58">
        <v>1</v>
      </c>
      <c r="BM60" s="860">
        <v>0</v>
      </c>
      <c r="BN60" s="860">
        <f t="shared" si="8"/>
        <v>-1</v>
      </c>
      <c r="BO60" s="518" t="s">
        <v>451</v>
      </c>
      <c r="BP60" s="513">
        <f t="shared" si="91"/>
        <v>404</v>
      </c>
      <c r="BQ60" s="511"/>
      <c r="BR60" s="514"/>
      <c r="BS60" s="513"/>
      <c r="BT60" s="107"/>
      <c r="BU60" s="108"/>
      <c r="BV60" s="798">
        <v>52.63</v>
      </c>
      <c r="BW60" s="804">
        <f>'9. Pre-Investment Baselines'!AW55-BV60</f>
        <v>97.11330000000001</v>
      </c>
      <c r="BX60" s="811">
        <v>0.68</v>
      </c>
      <c r="BY60" s="803">
        <f>'9. Pre-Investment Baselines'!AX55-BX60</f>
        <v>98.49333</v>
      </c>
      <c r="BZ60" s="801">
        <v>6.9000000000000006E-2</v>
      </c>
      <c r="CA60" s="806">
        <f>'9. Pre-Investment Baselines'!AY55-BZ60</f>
        <v>1.8013333</v>
      </c>
      <c r="CB60" s="490">
        <v>1.4999999999999999E-2</v>
      </c>
      <c r="CC60" s="808">
        <f>'9. Pre-Investment Baselines'!AZ55-CB60</f>
        <v>1.518</v>
      </c>
      <c r="CD60" s="257"/>
      <c r="CE60" s="94"/>
      <c r="CF60" s="495"/>
      <c r="CG60" s="94"/>
      <c r="CH60" s="95"/>
      <c r="CI60" s="52"/>
    </row>
    <row r="61" spans="1:87" ht="30" customHeight="1" thickBot="1" x14ac:dyDescent="0.35">
      <c r="A61" s="60" t="str">
        <f t="shared" si="0"/>
        <v>Unitil</v>
      </c>
      <c r="B61" s="66" t="s">
        <v>383</v>
      </c>
      <c r="C61" s="66" t="s">
        <v>383</v>
      </c>
      <c r="D61" s="58" t="s">
        <v>434</v>
      </c>
      <c r="E61" s="58" t="s">
        <v>385</v>
      </c>
      <c r="F61" s="58" t="s">
        <v>437</v>
      </c>
      <c r="G61" s="58" t="s">
        <v>438</v>
      </c>
      <c r="H61" s="10" t="s">
        <v>387</v>
      </c>
      <c r="I61" s="14" t="s">
        <v>453</v>
      </c>
      <c r="J61" s="128" t="s">
        <v>454</v>
      </c>
      <c r="K61" s="833">
        <v>9.5609999999999999</v>
      </c>
      <c r="L61" s="526">
        <v>18.261853102982972</v>
      </c>
      <c r="M61" s="58">
        <v>1593</v>
      </c>
      <c r="N61" s="559">
        <v>10487904.178599505</v>
      </c>
      <c r="O61" s="527" t="s">
        <v>455</v>
      </c>
      <c r="P61" s="524">
        <v>7.6420000000000003</v>
      </c>
      <c r="Q61" s="608" t="s">
        <v>448</v>
      </c>
      <c r="R61" s="528" t="s">
        <v>448</v>
      </c>
      <c r="S61" s="18">
        <v>127</v>
      </c>
      <c r="T61" s="16">
        <f t="shared" si="85"/>
        <v>127</v>
      </c>
      <c r="U61" s="18">
        <v>0</v>
      </c>
      <c r="V61" s="16">
        <f t="shared" si="85"/>
        <v>0</v>
      </c>
      <c r="W61" s="18">
        <v>1</v>
      </c>
      <c r="X61" s="16">
        <f t="shared" ref="X61" si="94">W61</f>
        <v>1</v>
      </c>
      <c r="Y61" s="18">
        <v>0</v>
      </c>
      <c r="Z61" s="16">
        <f t="shared" ref="Z61" si="95">Y61</f>
        <v>0</v>
      </c>
      <c r="AA61" s="561">
        <v>1712</v>
      </c>
      <c r="AB61" s="562"/>
      <c r="AC61" s="561">
        <f t="shared" si="88"/>
        <v>0</v>
      </c>
      <c r="AD61" s="562"/>
      <c r="AE61" s="561">
        <v>19</v>
      </c>
      <c r="AF61" s="562"/>
      <c r="AG61" s="561">
        <f t="shared" si="90"/>
        <v>0</v>
      </c>
      <c r="AH61" s="562"/>
      <c r="AI61" s="563"/>
      <c r="AJ61" s="562"/>
      <c r="AK61" s="564"/>
      <c r="AL61" s="565"/>
      <c r="AM61" s="566"/>
      <c r="AN61" s="565"/>
      <c r="AO61" s="565"/>
      <c r="AP61" s="565"/>
      <c r="AQ61" s="565"/>
      <c r="AR61" s="565"/>
      <c r="AS61" s="565"/>
      <c r="AT61" s="492"/>
      <c r="AU61" s="493"/>
      <c r="AV61" s="493"/>
      <c r="AW61" s="493"/>
      <c r="AX61" s="493"/>
      <c r="AY61" s="493"/>
      <c r="AZ61" s="493"/>
      <c r="BA61" s="494"/>
      <c r="BB61" s="846">
        <f t="shared" si="4"/>
        <v>10487904.178599505</v>
      </c>
      <c r="BC61" s="84" t="s">
        <v>383</v>
      </c>
      <c r="BD61" s="638">
        <f t="shared" si="5"/>
        <v>7.6420000000000003</v>
      </c>
      <c r="BE61" s="84" t="s">
        <v>383</v>
      </c>
      <c r="BF61" s="639">
        <f t="shared" si="6"/>
        <v>1486.1275571819015</v>
      </c>
      <c r="BG61" s="84" t="s">
        <v>383</v>
      </c>
      <c r="BH61" s="105">
        <v>0.95</v>
      </c>
      <c r="BI61" s="84" t="s">
        <v>383</v>
      </c>
      <c r="BJ61" s="640">
        <f t="shared" si="7"/>
        <v>1960.1892909802475</v>
      </c>
      <c r="BK61" s="84" t="s">
        <v>383</v>
      </c>
      <c r="BL61" s="58">
        <v>4</v>
      </c>
      <c r="BM61" s="860">
        <v>0.66666666666666652</v>
      </c>
      <c r="BN61" s="860">
        <f t="shared" si="8"/>
        <v>-3.3333333333333335</v>
      </c>
      <c r="BO61" s="518" t="s">
        <v>451</v>
      </c>
      <c r="BP61" s="513">
        <f t="shared" si="91"/>
        <v>1593</v>
      </c>
      <c r="BQ61" s="511"/>
      <c r="BR61" s="514"/>
      <c r="BS61" s="513"/>
      <c r="BT61" s="107"/>
      <c r="BU61" s="108"/>
      <c r="BV61" s="798">
        <v>385.62</v>
      </c>
      <c r="BW61" s="804">
        <f>'9. Pre-Investment Baselines'!AW56-BV61</f>
        <v>-274.4633</v>
      </c>
      <c r="BX61" s="811">
        <v>127.91</v>
      </c>
      <c r="BY61" s="803">
        <f>'9. Pre-Investment Baselines'!AX56-BX61</f>
        <v>-68.139999999999986</v>
      </c>
      <c r="BZ61" s="801">
        <v>3.0110000000000001</v>
      </c>
      <c r="CA61" s="806">
        <f>'9. Pre-Investment Baselines'!AY56-BZ61</f>
        <v>-1.7450000000000001</v>
      </c>
      <c r="CB61" s="490">
        <v>1.5740000000000001</v>
      </c>
      <c r="CC61" s="808">
        <f>'9. Pre-Investment Baselines'!AZ56-CB61</f>
        <v>-0.66833330000000002</v>
      </c>
      <c r="CD61" s="257"/>
      <c r="CE61" s="94"/>
      <c r="CF61" s="495"/>
      <c r="CG61" s="94"/>
      <c r="CH61" s="95"/>
      <c r="CI61" s="52"/>
    </row>
    <row r="62" spans="1:87" ht="30" customHeight="1" thickBot="1" x14ac:dyDescent="0.35">
      <c r="A62" s="60" t="str">
        <f t="shared" si="0"/>
        <v>Unitil</v>
      </c>
      <c r="B62" s="66" t="s">
        <v>383</v>
      </c>
      <c r="C62" s="66" t="s">
        <v>383</v>
      </c>
      <c r="D62" s="58" t="s">
        <v>434</v>
      </c>
      <c r="E62" s="58" t="s">
        <v>385</v>
      </c>
      <c r="F62" s="58" t="s">
        <v>439</v>
      </c>
      <c r="G62" s="58" t="s">
        <v>385</v>
      </c>
      <c r="H62" s="10" t="s">
        <v>387</v>
      </c>
      <c r="I62" s="14" t="s">
        <v>453</v>
      </c>
      <c r="J62" s="128" t="s">
        <v>454</v>
      </c>
      <c r="K62" s="833">
        <v>9.5609999999999999</v>
      </c>
      <c r="L62" s="526">
        <v>12.559618568274621</v>
      </c>
      <c r="M62" s="58">
        <v>1855</v>
      </c>
      <c r="N62" s="559">
        <v>4469805.1053930763</v>
      </c>
      <c r="O62" s="527" t="s">
        <v>455</v>
      </c>
      <c r="P62" s="524">
        <v>3.2770000000000001</v>
      </c>
      <c r="Q62" s="608" t="s">
        <v>448</v>
      </c>
      <c r="R62" s="528" t="s">
        <v>448</v>
      </c>
      <c r="S62" s="18">
        <v>119</v>
      </c>
      <c r="T62" s="16">
        <f t="shared" si="85"/>
        <v>119</v>
      </c>
      <c r="U62" s="18">
        <v>0</v>
      </c>
      <c r="V62" s="16">
        <f t="shared" si="85"/>
        <v>0</v>
      </c>
      <c r="W62" s="18">
        <v>0</v>
      </c>
      <c r="X62" s="16">
        <f t="shared" ref="X62" si="96">W62</f>
        <v>0</v>
      </c>
      <c r="Y62" s="18">
        <v>0</v>
      </c>
      <c r="Z62" s="16">
        <f t="shared" ref="Z62" si="97">Y62</f>
        <v>0</v>
      </c>
      <c r="AA62" s="561" t="b">
        <f t="shared" ref="AA62:AA64" si="98">IF(S62=0,0)</f>
        <v>0</v>
      </c>
      <c r="AB62" s="562"/>
      <c r="AC62" s="561">
        <f t="shared" si="88"/>
        <v>0</v>
      </c>
      <c r="AD62" s="562"/>
      <c r="AE62" s="561">
        <f t="shared" si="89"/>
        <v>0</v>
      </c>
      <c r="AF62" s="562"/>
      <c r="AG62" s="561">
        <f t="shared" si="90"/>
        <v>0</v>
      </c>
      <c r="AH62" s="562"/>
      <c r="AI62" s="563"/>
      <c r="AJ62" s="562"/>
      <c r="AK62" s="564"/>
      <c r="AL62" s="565"/>
      <c r="AM62" s="566"/>
      <c r="AN62" s="565"/>
      <c r="AO62" s="565"/>
      <c r="AP62" s="565"/>
      <c r="AQ62" s="565"/>
      <c r="AR62" s="565"/>
      <c r="AS62" s="565"/>
      <c r="AT62" s="492"/>
      <c r="AU62" s="493"/>
      <c r="AV62" s="493"/>
      <c r="AW62" s="493"/>
      <c r="AX62" s="493"/>
      <c r="AY62" s="493"/>
      <c r="AZ62" s="493"/>
      <c r="BA62" s="494"/>
      <c r="BB62" s="846">
        <f t="shared" si="4"/>
        <v>4469805.1053930763</v>
      </c>
      <c r="BC62" s="84" t="s">
        <v>383</v>
      </c>
      <c r="BD62" s="638">
        <f t="shared" si="5"/>
        <v>3.2770000000000001</v>
      </c>
      <c r="BE62" s="84" t="s">
        <v>383</v>
      </c>
      <c r="BF62" s="639">
        <f t="shared" si="6"/>
        <v>637.27296583160057</v>
      </c>
      <c r="BG62" s="84" t="s">
        <v>383</v>
      </c>
      <c r="BH62" s="105">
        <v>0.95</v>
      </c>
      <c r="BI62" s="84" t="s">
        <v>383</v>
      </c>
      <c r="BJ62" s="640">
        <f t="shared" si="7"/>
        <v>835.40657419796605</v>
      </c>
      <c r="BK62" s="84" t="s">
        <v>383</v>
      </c>
      <c r="BL62" s="58">
        <v>2</v>
      </c>
      <c r="BM62" s="860">
        <v>3</v>
      </c>
      <c r="BN62" s="860">
        <f t="shared" si="8"/>
        <v>1</v>
      </c>
      <c r="BO62" s="518" t="s">
        <v>451</v>
      </c>
      <c r="BP62" s="513">
        <f t="shared" si="91"/>
        <v>1855</v>
      </c>
      <c r="BQ62" s="511"/>
      <c r="BR62" s="514"/>
      <c r="BS62" s="513"/>
      <c r="BT62" s="107"/>
      <c r="BU62" s="108"/>
      <c r="BV62" s="798">
        <v>216.11</v>
      </c>
      <c r="BW62" s="804">
        <f>'9. Pre-Investment Baselines'!AW57-BV62</f>
        <v>-31.143300000000011</v>
      </c>
      <c r="BX62" s="811">
        <v>69.48</v>
      </c>
      <c r="BY62" s="803">
        <f>'9. Pre-Investment Baselines'!AX57-BX62</f>
        <v>65.820000000000007</v>
      </c>
      <c r="BZ62" s="801">
        <v>1.631</v>
      </c>
      <c r="CA62" s="806">
        <f>'9. Pre-Investment Baselines'!AY57-BZ62</f>
        <v>0.7779999999999998</v>
      </c>
      <c r="CB62" s="490">
        <v>1.2749999999999999</v>
      </c>
      <c r="CC62" s="808">
        <f>'9. Pre-Investment Baselines'!AZ57-CB62</f>
        <v>0.79700000000000015</v>
      </c>
      <c r="CD62" s="257"/>
      <c r="CE62" s="94"/>
      <c r="CF62" s="495"/>
      <c r="CG62" s="94"/>
      <c r="CH62" s="95"/>
      <c r="CI62" s="52"/>
    </row>
    <row r="63" spans="1:87" ht="30" customHeight="1" thickBot="1" x14ac:dyDescent="0.35">
      <c r="A63" s="60" t="str">
        <f t="shared" si="0"/>
        <v>Unitil</v>
      </c>
      <c r="B63" s="66" t="s">
        <v>383</v>
      </c>
      <c r="C63" s="66" t="s">
        <v>383</v>
      </c>
      <c r="D63" s="58" t="s">
        <v>434</v>
      </c>
      <c r="E63" s="58" t="s">
        <v>385</v>
      </c>
      <c r="F63" s="58">
        <v>1303</v>
      </c>
      <c r="G63" s="58" t="s">
        <v>385</v>
      </c>
      <c r="H63" s="10" t="s">
        <v>387</v>
      </c>
      <c r="I63" s="14" t="s">
        <v>453</v>
      </c>
      <c r="J63" s="128" t="s">
        <v>454</v>
      </c>
      <c r="K63" s="833">
        <v>14.867000000000001</v>
      </c>
      <c r="L63" s="526">
        <v>0.6</v>
      </c>
      <c r="M63" s="58" t="s">
        <v>383</v>
      </c>
      <c r="N63" s="845">
        <v>0</v>
      </c>
      <c r="O63" s="527" t="s">
        <v>383</v>
      </c>
      <c r="P63" s="524">
        <v>0</v>
      </c>
      <c r="Q63" s="608" t="s">
        <v>448</v>
      </c>
      <c r="R63" s="528" t="s">
        <v>449</v>
      </c>
      <c r="S63" s="18">
        <v>0</v>
      </c>
      <c r="T63" s="16">
        <f t="shared" si="85"/>
        <v>0</v>
      </c>
      <c r="U63" s="18">
        <v>0</v>
      </c>
      <c r="V63" s="16">
        <f t="shared" si="85"/>
        <v>0</v>
      </c>
      <c r="W63" s="18">
        <v>0</v>
      </c>
      <c r="X63" s="16">
        <f t="shared" ref="X63" si="99">W63</f>
        <v>0</v>
      </c>
      <c r="Y63" s="18">
        <v>0</v>
      </c>
      <c r="Z63" s="16">
        <f t="shared" ref="Z63" si="100">Y63</f>
        <v>0</v>
      </c>
      <c r="AA63" s="561">
        <f t="shared" si="98"/>
        <v>0</v>
      </c>
      <c r="AB63" s="562"/>
      <c r="AC63" s="561">
        <f t="shared" si="88"/>
        <v>0</v>
      </c>
      <c r="AD63" s="562"/>
      <c r="AE63" s="561">
        <f t="shared" si="89"/>
        <v>0</v>
      </c>
      <c r="AF63" s="562"/>
      <c r="AG63" s="561">
        <f t="shared" si="90"/>
        <v>0</v>
      </c>
      <c r="AH63" s="562"/>
      <c r="AI63" s="563"/>
      <c r="AJ63" s="562"/>
      <c r="AK63" s="564"/>
      <c r="AL63" s="565"/>
      <c r="AM63" s="566"/>
      <c r="AN63" s="565"/>
      <c r="AO63" s="565"/>
      <c r="AP63" s="565"/>
      <c r="AQ63" s="565"/>
      <c r="AR63" s="565"/>
      <c r="AS63" s="565"/>
      <c r="AT63" s="492"/>
      <c r="AU63" s="493"/>
      <c r="AV63" s="493"/>
      <c r="AW63" s="493"/>
      <c r="AX63" s="493"/>
      <c r="AY63" s="493"/>
      <c r="AZ63" s="493"/>
      <c r="BA63" s="494"/>
      <c r="BB63" s="846">
        <v>0</v>
      </c>
      <c r="BC63" s="84" t="s">
        <v>383</v>
      </c>
      <c r="BD63" s="638">
        <f t="shared" si="5"/>
        <v>0</v>
      </c>
      <c r="BE63" s="84" t="s">
        <v>383</v>
      </c>
      <c r="BF63" s="639">
        <f t="shared" si="6"/>
        <v>0</v>
      </c>
      <c r="BG63" s="84" t="s">
        <v>383</v>
      </c>
      <c r="BH63" s="105">
        <v>0.95</v>
      </c>
      <c r="BI63" s="84" t="s">
        <v>383</v>
      </c>
      <c r="BJ63" s="640">
        <f t="shared" si="7"/>
        <v>0</v>
      </c>
      <c r="BK63" s="84" t="s">
        <v>383</v>
      </c>
      <c r="BL63" s="58" t="s">
        <v>383</v>
      </c>
      <c r="BM63" s="860"/>
      <c r="BN63" s="860"/>
      <c r="BO63" s="518" t="s">
        <v>451</v>
      </c>
      <c r="BP63" s="513" t="str">
        <f t="shared" si="91"/>
        <v>N/A</v>
      </c>
      <c r="BQ63" s="511"/>
      <c r="BR63" s="514"/>
      <c r="BS63" s="513"/>
      <c r="BT63" s="107"/>
      <c r="BU63" s="108"/>
      <c r="BV63" s="798" t="s">
        <v>383</v>
      </c>
      <c r="BW63" s="804" t="str">
        <f>'9. Pre-Investment Baselines'!AW58</f>
        <v>N/A</v>
      </c>
      <c r="BX63" s="811" t="s">
        <v>383</v>
      </c>
      <c r="BY63" s="803" t="str">
        <f>'9. Pre-Investment Baselines'!AX58</f>
        <v>N/A</v>
      </c>
      <c r="BZ63" s="801" t="s">
        <v>383</v>
      </c>
      <c r="CA63" s="490" t="str">
        <f>'9. Pre-Investment Baselines'!AY58</f>
        <v>N/A</v>
      </c>
      <c r="CB63" s="490" t="s">
        <v>383</v>
      </c>
      <c r="CC63" s="808" t="str">
        <f>'9. Pre-Investment Baselines'!AZ58</f>
        <v>N/A</v>
      </c>
      <c r="CD63" s="257"/>
      <c r="CE63" s="94"/>
      <c r="CF63" s="495"/>
      <c r="CG63" s="94"/>
      <c r="CH63" s="95"/>
      <c r="CI63" s="52"/>
    </row>
    <row r="64" spans="1:87" ht="30" customHeight="1" x14ac:dyDescent="0.3">
      <c r="A64" s="60" t="str">
        <f t="shared" si="0"/>
        <v>Unitil</v>
      </c>
      <c r="B64" s="66" t="s">
        <v>383</v>
      </c>
      <c r="C64" s="66" t="s">
        <v>383</v>
      </c>
      <c r="D64" s="58" t="s">
        <v>434</v>
      </c>
      <c r="E64" s="58" t="s">
        <v>385</v>
      </c>
      <c r="F64" s="58">
        <v>1309</v>
      </c>
      <c r="G64" s="58" t="s">
        <v>385</v>
      </c>
      <c r="H64" s="10" t="s">
        <v>387</v>
      </c>
      <c r="I64" s="14" t="s">
        <v>453</v>
      </c>
      <c r="J64" s="128" t="s">
        <v>454</v>
      </c>
      <c r="K64" s="833">
        <v>12.683999999999999</v>
      </c>
      <c r="L64" s="526">
        <v>0.6</v>
      </c>
      <c r="M64" s="58" t="s">
        <v>383</v>
      </c>
      <c r="N64" s="845">
        <v>0</v>
      </c>
      <c r="O64" s="527" t="s">
        <v>383</v>
      </c>
      <c r="P64" s="572">
        <v>0</v>
      </c>
      <c r="Q64" s="608" t="s">
        <v>448</v>
      </c>
      <c r="R64" s="528" t="s">
        <v>449</v>
      </c>
      <c r="S64" s="18">
        <v>0</v>
      </c>
      <c r="T64" s="16">
        <f t="shared" si="85"/>
        <v>0</v>
      </c>
      <c r="U64" s="18">
        <v>0</v>
      </c>
      <c r="V64" s="16">
        <f t="shared" si="85"/>
        <v>0</v>
      </c>
      <c r="W64" s="18">
        <v>0</v>
      </c>
      <c r="X64" s="16">
        <f t="shared" ref="X64" si="101">W64</f>
        <v>0</v>
      </c>
      <c r="Y64" s="18">
        <v>0</v>
      </c>
      <c r="Z64" s="16">
        <f t="shared" ref="Z64" si="102">Y64</f>
        <v>0</v>
      </c>
      <c r="AA64" s="561">
        <f t="shared" si="98"/>
        <v>0</v>
      </c>
      <c r="AB64" s="562"/>
      <c r="AC64" s="561">
        <f t="shared" si="88"/>
        <v>0</v>
      </c>
      <c r="AD64" s="562"/>
      <c r="AE64" s="561">
        <f t="shared" si="89"/>
        <v>0</v>
      </c>
      <c r="AF64" s="562"/>
      <c r="AG64" s="561">
        <f t="shared" si="90"/>
        <v>0</v>
      </c>
      <c r="AH64" s="562"/>
      <c r="AI64" s="563"/>
      <c r="AJ64" s="562"/>
      <c r="AK64" s="564"/>
      <c r="AL64" s="565"/>
      <c r="AM64" s="566"/>
      <c r="AN64" s="565"/>
      <c r="AO64" s="565"/>
      <c r="AP64" s="565"/>
      <c r="AQ64" s="565"/>
      <c r="AR64" s="565"/>
      <c r="AS64" s="565"/>
      <c r="AT64" s="492"/>
      <c r="AU64" s="493"/>
      <c r="AV64" s="493"/>
      <c r="AW64" s="493"/>
      <c r="AX64" s="493"/>
      <c r="AY64" s="493"/>
      <c r="AZ64" s="493"/>
      <c r="BA64" s="494"/>
      <c r="BB64" s="846">
        <v>0</v>
      </c>
      <c r="BC64" s="84" t="s">
        <v>383</v>
      </c>
      <c r="BD64" s="638">
        <f t="shared" si="5"/>
        <v>0</v>
      </c>
      <c r="BE64" s="84" t="s">
        <v>383</v>
      </c>
      <c r="BF64" s="639">
        <f t="shared" si="6"/>
        <v>0</v>
      </c>
      <c r="BG64" s="84" t="s">
        <v>383</v>
      </c>
      <c r="BH64" s="105">
        <v>0.95</v>
      </c>
      <c r="BI64" s="84" t="s">
        <v>383</v>
      </c>
      <c r="BJ64" s="640">
        <f t="shared" si="7"/>
        <v>0</v>
      </c>
      <c r="BK64" s="84" t="s">
        <v>383</v>
      </c>
      <c r="BL64" s="58" t="s">
        <v>383</v>
      </c>
      <c r="BM64" s="860"/>
      <c r="BN64" s="860"/>
      <c r="BO64" s="518" t="s">
        <v>451</v>
      </c>
      <c r="BP64" s="513" t="str">
        <f t="shared" si="91"/>
        <v>N/A</v>
      </c>
      <c r="BQ64" s="511"/>
      <c r="BR64" s="514"/>
      <c r="BS64" s="513"/>
      <c r="BT64" s="107"/>
      <c r="BU64" s="108"/>
      <c r="BV64" s="798" t="s">
        <v>383</v>
      </c>
      <c r="BW64" s="804" t="str">
        <f>'9. Pre-Investment Baselines'!AW59</f>
        <v>N/A</v>
      </c>
      <c r="BX64" s="811" t="s">
        <v>383</v>
      </c>
      <c r="BY64" s="803" t="str">
        <f>'9. Pre-Investment Baselines'!AX59</f>
        <v>N/A</v>
      </c>
      <c r="BZ64" s="801" t="s">
        <v>383</v>
      </c>
      <c r="CA64" s="490" t="str">
        <f>'9. Pre-Investment Baselines'!AY59</f>
        <v>N/A</v>
      </c>
      <c r="CB64" s="490" t="s">
        <v>383</v>
      </c>
      <c r="CC64" s="808" t="str">
        <f>'9. Pre-Investment Baselines'!AZ59</f>
        <v>N/A</v>
      </c>
      <c r="CD64" s="257"/>
      <c r="CE64" s="94"/>
      <c r="CF64" s="495"/>
      <c r="CG64" s="94"/>
      <c r="CH64" s="95"/>
      <c r="CI64" s="52"/>
    </row>
    <row r="65" spans="1:102" ht="30" customHeight="1" thickBot="1" x14ac:dyDescent="0.35">
      <c r="A65" s="60" t="str">
        <f t="shared" si="0"/>
        <v>Unitil</v>
      </c>
      <c r="B65" s="66" t="s">
        <v>383</v>
      </c>
      <c r="C65" s="66" t="s">
        <v>383</v>
      </c>
      <c r="D65" s="58" t="s">
        <v>434</v>
      </c>
      <c r="E65" s="58" t="s">
        <v>385</v>
      </c>
      <c r="F65" s="496"/>
      <c r="G65" s="496"/>
      <c r="H65" s="497"/>
      <c r="I65" s="529"/>
      <c r="J65" s="496"/>
      <c r="K65" s="834" t="s">
        <v>456</v>
      </c>
      <c r="L65" s="496"/>
      <c r="M65" s="496"/>
      <c r="N65" s="567"/>
      <c r="O65" s="530"/>
      <c r="P65" s="568"/>
      <c r="Q65" s="510"/>
      <c r="R65" s="531"/>
      <c r="S65" s="569"/>
      <c r="T65" s="569"/>
      <c r="U65" s="569"/>
      <c r="V65" s="569"/>
      <c r="W65" s="569"/>
      <c r="X65" s="569"/>
      <c r="Y65" s="569"/>
      <c r="Z65" s="569"/>
      <c r="AA65" s="569"/>
      <c r="AB65" s="569"/>
      <c r="AC65" s="569"/>
      <c r="AD65" s="569"/>
      <c r="AE65" s="569"/>
      <c r="AF65" s="569"/>
      <c r="AG65" s="569"/>
      <c r="AH65" s="569"/>
      <c r="AI65" s="569"/>
      <c r="AJ65" s="569"/>
      <c r="AK65" s="569"/>
      <c r="AL65" s="569"/>
      <c r="AM65" s="497"/>
      <c r="AN65" s="569"/>
      <c r="AO65" s="497"/>
      <c r="AP65" s="569"/>
      <c r="AQ65" s="497"/>
      <c r="AR65" s="569"/>
      <c r="AS65" s="497"/>
      <c r="AT65" s="492"/>
      <c r="AU65" s="493"/>
      <c r="AV65" s="493"/>
      <c r="AW65" s="493"/>
      <c r="AX65" s="493"/>
      <c r="AY65" s="493"/>
      <c r="AZ65" s="493"/>
      <c r="BA65" s="494"/>
      <c r="BB65" s="846"/>
      <c r="BC65" s="84" t="s">
        <v>383</v>
      </c>
      <c r="BD65" s="638">
        <f t="shared" si="5"/>
        <v>0</v>
      </c>
      <c r="BE65" s="84" t="s">
        <v>383</v>
      </c>
      <c r="BF65" s="639">
        <f t="shared" si="6"/>
        <v>0</v>
      </c>
      <c r="BG65" s="84" t="s">
        <v>383</v>
      </c>
      <c r="BH65" s="105"/>
      <c r="BI65" s="84" t="s">
        <v>383</v>
      </c>
      <c r="BJ65" s="640">
        <f t="shared" si="7"/>
        <v>0</v>
      </c>
      <c r="BK65" s="84" t="s">
        <v>383</v>
      </c>
      <c r="BL65" s="496"/>
      <c r="BM65" s="861"/>
      <c r="BN65" s="861"/>
      <c r="BO65" s="515"/>
      <c r="BP65" s="517"/>
      <c r="BQ65" s="515"/>
      <c r="BR65" s="516"/>
      <c r="BS65" s="517"/>
      <c r="BT65" s="107"/>
      <c r="BU65" s="108"/>
      <c r="BV65" s="799"/>
      <c r="BW65" s="106"/>
      <c r="BX65" s="812"/>
      <c r="BY65" s="803"/>
      <c r="BZ65" s="802"/>
      <c r="CA65" s="105"/>
      <c r="CB65" s="105"/>
      <c r="CC65" s="809"/>
      <c r="CD65" s="257"/>
      <c r="CE65" s="94"/>
      <c r="CF65" s="495"/>
      <c r="CG65" s="94"/>
      <c r="CH65" s="95"/>
      <c r="CI65" s="52"/>
    </row>
    <row r="66" spans="1:102" ht="30" customHeight="1" thickBot="1" x14ac:dyDescent="0.35">
      <c r="A66" s="60" t="str">
        <f t="shared" si="0"/>
        <v>Unitil</v>
      </c>
      <c r="B66" s="66" t="s">
        <v>383</v>
      </c>
      <c r="C66" s="66" t="s">
        <v>383</v>
      </c>
      <c r="D66" s="58" t="s">
        <v>440</v>
      </c>
      <c r="E66" s="58" t="s">
        <v>385</v>
      </c>
      <c r="F66" s="58" t="s">
        <v>441</v>
      </c>
      <c r="G66" s="58" t="s">
        <v>385</v>
      </c>
      <c r="H66" s="10" t="s">
        <v>387</v>
      </c>
      <c r="I66" s="14" t="s">
        <v>453</v>
      </c>
      <c r="J66" s="128" t="s">
        <v>454</v>
      </c>
      <c r="K66" s="833">
        <v>16.062000000000001</v>
      </c>
      <c r="L66" s="526">
        <v>7.8408432448636383</v>
      </c>
      <c r="M66" s="58">
        <v>660</v>
      </c>
      <c r="N66" s="844">
        <v>1436838.3943387771</v>
      </c>
      <c r="O66" s="527" t="s">
        <v>455</v>
      </c>
      <c r="P66" s="524">
        <v>1.1870000000000001</v>
      </c>
      <c r="Q66" s="608" t="s">
        <v>448</v>
      </c>
      <c r="R66" s="525" t="s">
        <v>449</v>
      </c>
      <c r="S66" s="18">
        <v>128</v>
      </c>
      <c r="T66" s="16">
        <f t="shared" ref="T66:V70" si="103">S66</f>
        <v>128</v>
      </c>
      <c r="U66" s="18">
        <v>0</v>
      </c>
      <c r="V66" s="16">
        <f t="shared" si="103"/>
        <v>0</v>
      </c>
      <c r="W66" s="18">
        <v>0</v>
      </c>
      <c r="X66" s="16">
        <f t="shared" ref="X66" si="104">W66</f>
        <v>0</v>
      </c>
      <c r="Y66" s="18">
        <v>0</v>
      </c>
      <c r="Z66" s="16">
        <f t="shared" ref="Z66" si="105">Y66</f>
        <v>0</v>
      </c>
      <c r="AA66" s="561">
        <v>790</v>
      </c>
      <c r="AB66" s="562"/>
      <c r="AC66" s="561">
        <f t="shared" ref="AC66:AC70" si="106">IF(U66=0,0)</f>
        <v>0</v>
      </c>
      <c r="AD66" s="562"/>
      <c r="AE66" s="561">
        <f t="shared" ref="AE66:AE70" si="107">IF(W66=0,0)</f>
        <v>0</v>
      </c>
      <c r="AF66" s="562"/>
      <c r="AG66" s="561">
        <f t="shared" ref="AG66:AG70" si="108">IF(Y66=0,0)</f>
        <v>0</v>
      </c>
      <c r="AH66" s="562"/>
      <c r="AI66" s="563"/>
      <c r="AJ66" s="562"/>
      <c r="AK66" s="564"/>
      <c r="AL66" s="565"/>
      <c r="AM66" s="566"/>
      <c r="AN66" s="565"/>
      <c r="AO66" s="565"/>
      <c r="AP66" s="565"/>
      <c r="AQ66" s="565"/>
      <c r="AR66" s="565"/>
      <c r="AS66" s="565"/>
      <c r="AT66" s="492"/>
      <c r="AU66" s="493"/>
      <c r="AV66" s="493"/>
      <c r="AW66" s="493"/>
      <c r="AX66" s="493"/>
      <c r="AY66" s="493"/>
      <c r="AZ66" s="493"/>
      <c r="BA66" s="494"/>
      <c r="BB66" s="846">
        <f t="shared" si="4"/>
        <v>1436838.3943387771</v>
      </c>
      <c r="BC66" s="84" t="s">
        <v>383</v>
      </c>
      <c r="BD66" s="638">
        <f t="shared" si="5"/>
        <v>1.1870000000000001</v>
      </c>
      <c r="BE66" s="84" t="s">
        <v>383</v>
      </c>
      <c r="BF66" s="639">
        <f t="shared" si="6"/>
        <v>230.83399769365573</v>
      </c>
      <c r="BG66" s="84" t="s">
        <v>383</v>
      </c>
      <c r="BH66" s="105">
        <v>0.95</v>
      </c>
      <c r="BI66" s="84" t="s">
        <v>383</v>
      </c>
      <c r="BJ66" s="640">
        <f t="shared" si="7"/>
        <v>268.54509590191748</v>
      </c>
      <c r="BK66" s="84" t="s">
        <v>383</v>
      </c>
      <c r="BL66" s="58">
        <v>1</v>
      </c>
      <c r="BM66" s="860">
        <v>0</v>
      </c>
      <c r="BN66" s="860">
        <f t="shared" si="8"/>
        <v>-1</v>
      </c>
      <c r="BO66" s="511" t="s">
        <v>387</v>
      </c>
      <c r="BP66" s="513">
        <f t="shared" ref="BP66:BP70" si="109">IF(BO66="Y",M66,IF(BO66="N",0))</f>
        <v>0</v>
      </c>
      <c r="BQ66" s="511"/>
      <c r="BR66" s="514"/>
      <c r="BS66" s="513"/>
      <c r="BT66" s="107"/>
      <c r="BU66" s="108"/>
      <c r="BV66" s="799">
        <v>1545.53</v>
      </c>
      <c r="BW66" s="805">
        <f>'9. Pre-Investment Baselines'!AW61-BV66</f>
        <v>-1478.8833299999999</v>
      </c>
      <c r="BX66" s="812">
        <v>76.56</v>
      </c>
      <c r="BY66" s="803">
        <f>'9. Pre-Investment Baselines'!AX61-BX66</f>
        <v>-9.913330000000002</v>
      </c>
      <c r="BZ66" s="802">
        <v>2.4470000000000001</v>
      </c>
      <c r="CA66" s="807">
        <f>'9. Pre-Investment Baselines'!AY61-BZ66</f>
        <v>-1.3980000000000001</v>
      </c>
      <c r="CB66" s="105">
        <v>1.22</v>
      </c>
      <c r="CC66" s="809">
        <f>'9. Pre-Investment Baselines'!AZ61-CB66</f>
        <v>-0.17100000000000004</v>
      </c>
      <c r="CD66" s="257"/>
      <c r="CE66" s="94"/>
      <c r="CF66" s="495"/>
      <c r="CG66" s="94"/>
      <c r="CH66" s="95"/>
      <c r="CI66" s="52"/>
    </row>
    <row r="67" spans="1:102" ht="30" customHeight="1" x14ac:dyDescent="0.3">
      <c r="A67" s="60" t="str">
        <f t="shared" si="0"/>
        <v>Unitil</v>
      </c>
      <c r="B67" s="66" t="s">
        <v>383</v>
      </c>
      <c r="C67" s="66" t="s">
        <v>383</v>
      </c>
      <c r="D67" s="58" t="s">
        <v>440</v>
      </c>
      <c r="E67" s="58" t="s">
        <v>385</v>
      </c>
      <c r="F67" s="58" t="s">
        <v>442</v>
      </c>
      <c r="G67" s="58" t="s">
        <v>385</v>
      </c>
      <c r="H67" s="10" t="s">
        <v>387</v>
      </c>
      <c r="I67" s="14" t="s">
        <v>453</v>
      </c>
      <c r="J67" s="128" t="s">
        <v>454</v>
      </c>
      <c r="K67" s="833">
        <v>18.356999999999999</v>
      </c>
      <c r="L67" s="526">
        <v>0.09</v>
      </c>
      <c r="M67" s="58">
        <v>1</v>
      </c>
      <c r="N67" s="559">
        <v>14834487.852704134</v>
      </c>
      <c r="O67" s="527" t="s">
        <v>455</v>
      </c>
      <c r="P67" s="524">
        <v>7.4420000000000002</v>
      </c>
      <c r="Q67" s="608" t="s">
        <v>450</v>
      </c>
      <c r="R67" s="525" t="s">
        <v>449</v>
      </c>
      <c r="S67" s="18">
        <v>0</v>
      </c>
      <c r="T67" s="16">
        <f t="shared" si="103"/>
        <v>0</v>
      </c>
      <c r="U67" s="18">
        <v>0</v>
      </c>
      <c r="V67" s="16">
        <f t="shared" si="103"/>
        <v>0</v>
      </c>
      <c r="W67" s="18">
        <v>0</v>
      </c>
      <c r="X67" s="16">
        <f t="shared" ref="X67" si="110">W67</f>
        <v>0</v>
      </c>
      <c r="Y67" s="18">
        <v>0</v>
      </c>
      <c r="Z67" s="16">
        <f t="shared" ref="Z67" si="111">Y67</f>
        <v>0</v>
      </c>
      <c r="AA67" s="561">
        <f t="shared" ref="AA67:AA68" si="112">IF(S67=0,0)</f>
        <v>0</v>
      </c>
      <c r="AB67" s="562"/>
      <c r="AC67" s="561">
        <f t="shared" si="106"/>
        <v>0</v>
      </c>
      <c r="AD67" s="562"/>
      <c r="AE67" s="561">
        <f t="shared" si="107"/>
        <v>0</v>
      </c>
      <c r="AF67" s="562"/>
      <c r="AG67" s="561">
        <f t="shared" si="108"/>
        <v>0</v>
      </c>
      <c r="AH67" s="562"/>
      <c r="AI67" s="563"/>
      <c r="AJ67" s="562"/>
      <c r="AK67" s="564"/>
      <c r="AL67" s="565"/>
      <c r="AM67" s="566"/>
      <c r="AN67" s="565"/>
      <c r="AO67" s="565"/>
      <c r="AP67" s="565"/>
      <c r="AQ67" s="565"/>
      <c r="AR67" s="565"/>
      <c r="AS67" s="565"/>
      <c r="AT67" s="492"/>
      <c r="AU67" s="493"/>
      <c r="AV67" s="493"/>
      <c r="AW67" s="493"/>
      <c r="AX67" s="493"/>
      <c r="AY67" s="493"/>
      <c r="AZ67" s="493"/>
      <c r="BA67" s="494"/>
      <c r="BB67" s="846">
        <f t="shared" si="4"/>
        <v>14834487.852704134</v>
      </c>
      <c r="BC67" s="84" t="s">
        <v>383</v>
      </c>
      <c r="BD67" s="638">
        <f t="shared" si="5"/>
        <v>7.4420000000000002</v>
      </c>
      <c r="BE67" s="84" t="s">
        <v>383</v>
      </c>
      <c r="BF67" s="639">
        <f t="shared" si="6"/>
        <v>1447.2338760203756</v>
      </c>
      <c r="BG67" s="84" t="s">
        <v>383</v>
      </c>
      <c r="BH67" s="105">
        <v>0.95</v>
      </c>
      <c r="BI67" s="84" t="s">
        <v>383</v>
      </c>
      <c r="BJ67" s="640">
        <f t="shared" si="7"/>
        <v>2772.5657796704031</v>
      </c>
      <c r="BK67" s="84" t="s">
        <v>383</v>
      </c>
      <c r="BL67" s="58">
        <v>0</v>
      </c>
      <c r="BM67" s="860">
        <v>1.3333333333333333</v>
      </c>
      <c r="BN67" s="860">
        <f t="shared" si="8"/>
        <v>1.3333333333333333</v>
      </c>
      <c r="BO67" s="511" t="s">
        <v>387</v>
      </c>
      <c r="BP67" s="513">
        <f t="shared" si="109"/>
        <v>0</v>
      </c>
      <c r="BQ67" s="511"/>
      <c r="BR67" s="514"/>
      <c r="BS67" s="513"/>
      <c r="BT67" s="107"/>
      <c r="BU67" s="108"/>
      <c r="BV67" s="799">
        <v>0</v>
      </c>
      <c r="BW67" s="805">
        <f>'9. Pre-Investment Baselines'!AW62-BV67</f>
        <v>18.95</v>
      </c>
      <c r="BX67" s="812">
        <v>0</v>
      </c>
      <c r="BY67" s="803">
        <f>'9. Pre-Investment Baselines'!AX62-BX67</f>
        <v>18.95</v>
      </c>
      <c r="BZ67" s="802">
        <v>0</v>
      </c>
      <c r="CA67" s="807">
        <f>'9. Pre-Investment Baselines'!AY62-BZ67</f>
        <v>0.3333333</v>
      </c>
      <c r="CB67" s="105">
        <v>0</v>
      </c>
      <c r="CC67" s="809">
        <f>'9. Pre-Investment Baselines'!AZ62-CB67</f>
        <v>0.3333333</v>
      </c>
      <c r="CD67" s="257"/>
      <c r="CE67" s="94"/>
      <c r="CF67" s="495"/>
      <c r="CG67" s="94"/>
      <c r="CH67" s="95"/>
      <c r="CI67" s="52"/>
    </row>
    <row r="68" spans="1:102" ht="30" customHeight="1" thickBot="1" x14ac:dyDescent="0.35">
      <c r="A68" s="60" t="str">
        <f t="shared" si="0"/>
        <v>Unitil</v>
      </c>
      <c r="B68" s="66" t="s">
        <v>383</v>
      </c>
      <c r="C68" s="66" t="s">
        <v>383</v>
      </c>
      <c r="D68" s="58" t="s">
        <v>440</v>
      </c>
      <c r="E68" s="58" t="s">
        <v>385</v>
      </c>
      <c r="F68" s="58" t="s">
        <v>443</v>
      </c>
      <c r="G68" s="58" t="s">
        <v>385</v>
      </c>
      <c r="H68" s="10" t="s">
        <v>387</v>
      </c>
      <c r="I68" s="14" t="s">
        <v>453</v>
      </c>
      <c r="J68" s="128" t="s">
        <v>454</v>
      </c>
      <c r="K68" s="833">
        <v>10.898999999999999</v>
      </c>
      <c r="L68" s="526">
        <v>0.05</v>
      </c>
      <c r="M68" s="58" t="s">
        <v>383</v>
      </c>
      <c r="N68" s="845">
        <v>0</v>
      </c>
      <c r="O68" s="527" t="s">
        <v>383</v>
      </c>
      <c r="P68" s="572">
        <v>0</v>
      </c>
      <c r="Q68" s="608" t="s">
        <v>450</v>
      </c>
      <c r="R68" s="525" t="s">
        <v>449</v>
      </c>
      <c r="S68" s="18">
        <v>0</v>
      </c>
      <c r="T68" s="16">
        <f t="shared" si="103"/>
        <v>0</v>
      </c>
      <c r="U68" s="18">
        <v>0</v>
      </c>
      <c r="V68" s="16">
        <f t="shared" si="103"/>
        <v>0</v>
      </c>
      <c r="W68" s="18">
        <v>0</v>
      </c>
      <c r="X68" s="16">
        <f t="shared" ref="X68" si="113">W68</f>
        <v>0</v>
      </c>
      <c r="Y68" s="18">
        <v>0</v>
      </c>
      <c r="Z68" s="16">
        <f t="shared" ref="Z68" si="114">Y68</f>
        <v>0</v>
      </c>
      <c r="AA68" s="561">
        <f t="shared" si="112"/>
        <v>0</v>
      </c>
      <c r="AB68" s="562"/>
      <c r="AC68" s="561">
        <f t="shared" si="106"/>
        <v>0</v>
      </c>
      <c r="AD68" s="562"/>
      <c r="AE68" s="561">
        <f t="shared" si="107"/>
        <v>0</v>
      </c>
      <c r="AF68" s="562"/>
      <c r="AG68" s="561">
        <f t="shared" si="108"/>
        <v>0</v>
      </c>
      <c r="AH68" s="65"/>
      <c r="AI68" s="65"/>
      <c r="AJ68" s="65"/>
      <c r="AK68" s="65"/>
      <c r="AL68" s="65"/>
      <c r="AM68" s="204"/>
      <c r="AN68" s="65"/>
      <c r="AO68" s="204"/>
      <c r="AP68" s="65"/>
      <c r="AQ68" s="204"/>
      <c r="AR68" s="65"/>
      <c r="AS68" s="204"/>
      <c r="AT68" s="492"/>
      <c r="AU68" s="493"/>
      <c r="AV68" s="493"/>
      <c r="AW68" s="493"/>
      <c r="AX68" s="493"/>
      <c r="AY68" s="493"/>
      <c r="AZ68" s="493"/>
      <c r="BA68" s="494"/>
      <c r="BB68" s="846">
        <v>0</v>
      </c>
      <c r="BC68" s="84" t="s">
        <v>383</v>
      </c>
      <c r="BD68" s="638">
        <f t="shared" si="5"/>
        <v>0</v>
      </c>
      <c r="BE68" s="84" t="s">
        <v>383</v>
      </c>
      <c r="BF68" s="639">
        <f t="shared" si="6"/>
        <v>0</v>
      </c>
      <c r="BG68" s="84" t="s">
        <v>383</v>
      </c>
      <c r="BH68" s="105">
        <v>0.95</v>
      </c>
      <c r="BI68" s="84" t="s">
        <v>383</v>
      </c>
      <c r="BJ68" s="640">
        <f t="shared" si="7"/>
        <v>0</v>
      </c>
      <c r="BK68" s="84" t="s">
        <v>383</v>
      </c>
      <c r="BL68" s="58" t="s">
        <v>383</v>
      </c>
      <c r="BM68" s="860"/>
      <c r="BN68" s="860"/>
      <c r="BO68" s="511" t="s">
        <v>387</v>
      </c>
      <c r="BP68" s="513">
        <f t="shared" si="109"/>
        <v>0</v>
      </c>
      <c r="BQ68" s="511"/>
      <c r="BR68" s="514"/>
      <c r="BS68" s="513"/>
      <c r="BT68" s="107"/>
      <c r="BU68" s="108"/>
      <c r="BV68" s="799" t="s">
        <v>383</v>
      </c>
      <c r="BW68" s="805" t="str">
        <f>'9. Pre-Investment Baselines'!AW63</f>
        <v>N/A</v>
      </c>
      <c r="BX68" s="812" t="s">
        <v>383</v>
      </c>
      <c r="BY68" s="803" t="str">
        <f>'9. Pre-Investment Baselines'!AX63</f>
        <v>N/A</v>
      </c>
      <c r="BZ68" s="802" t="s">
        <v>383</v>
      </c>
      <c r="CA68" s="105" t="str">
        <f>'9. Pre-Investment Baselines'!AY63</f>
        <v>N/A</v>
      </c>
      <c r="CB68" s="105" t="s">
        <v>383</v>
      </c>
      <c r="CC68" s="809" t="str">
        <f>'9. Pre-Investment Baselines'!AZ63</f>
        <v>N/A</v>
      </c>
      <c r="CD68" s="257"/>
      <c r="CE68" s="94"/>
      <c r="CF68" s="495"/>
      <c r="CG68" s="94"/>
      <c r="CH68" s="95"/>
      <c r="CI68" s="52"/>
    </row>
    <row r="69" spans="1:102" ht="30" customHeight="1" thickBot="1" x14ac:dyDescent="0.35">
      <c r="A69" s="60" t="str">
        <f t="shared" si="0"/>
        <v>Unitil</v>
      </c>
      <c r="B69" s="66" t="s">
        <v>383</v>
      </c>
      <c r="C69" s="66" t="s">
        <v>383</v>
      </c>
      <c r="D69" s="58" t="s">
        <v>440</v>
      </c>
      <c r="E69" s="58" t="s">
        <v>385</v>
      </c>
      <c r="F69" s="58" t="s">
        <v>444</v>
      </c>
      <c r="G69" s="58" t="s">
        <v>385</v>
      </c>
      <c r="H69" s="10" t="s">
        <v>387</v>
      </c>
      <c r="I69" s="14" t="s">
        <v>453</v>
      </c>
      <c r="J69" s="128" t="s">
        <v>454</v>
      </c>
      <c r="K69" s="833">
        <v>10.898999999999999</v>
      </c>
      <c r="L69" s="526">
        <v>7.1147583333295463</v>
      </c>
      <c r="M69" s="58">
        <v>194</v>
      </c>
      <c r="N69" s="559">
        <v>6853405.1166328862</v>
      </c>
      <c r="O69" s="527" t="s">
        <v>455</v>
      </c>
      <c r="P69" s="524">
        <v>5.0270000000000001</v>
      </c>
      <c r="Q69" s="608" t="s">
        <v>448</v>
      </c>
      <c r="R69" s="525" t="s">
        <v>449</v>
      </c>
      <c r="S69" s="18">
        <v>13</v>
      </c>
      <c r="T69" s="16">
        <f t="shared" si="103"/>
        <v>13</v>
      </c>
      <c r="U69" s="18">
        <v>1</v>
      </c>
      <c r="V69" s="16">
        <f t="shared" si="103"/>
        <v>1</v>
      </c>
      <c r="W69" s="18">
        <v>0</v>
      </c>
      <c r="X69" s="16">
        <f t="shared" ref="X69" si="115">W69</f>
        <v>0</v>
      </c>
      <c r="Y69" s="18">
        <v>0</v>
      </c>
      <c r="Z69" s="16">
        <f t="shared" ref="Z69" si="116">Y69</f>
        <v>0</v>
      </c>
      <c r="AA69" s="561">
        <v>100</v>
      </c>
      <c r="AB69" s="562"/>
      <c r="AC69" s="561">
        <v>300</v>
      </c>
      <c r="AD69" s="562"/>
      <c r="AE69" s="561">
        <f t="shared" si="107"/>
        <v>0</v>
      </c>
      <c r="AF69" s="562"/>
      <c r="AG69" s="561">
        <f t="shared" si="108"/>
        <v>0</v>
      </c>
      <c r="AH69" s="562"/>
      <c r="AI69" s="563"/>
      <c r="AJ69" s="562"/>
      <c r="AK69" s="564"/>
      <c r="AL69" s="565"/>
      <c r="AM69" s="566"/>
      <c r="AN69" s="565"/>
      <c r="AO69" s="565"/>
      <c r="AP69" s="565"/>
      <c r="AQ69" s="565"/>
      <c r="AR69" s="565"/>
      <c r="AS69" s="565"/>
      <c r="AT69" s="492"/>
      <c r="AU69" s="493"/>
      <c r="AV69" s="493"/>
      <c r="AW69" s="493"/>
      <c r="AX69" s="493"/>
      <c r="AY69" s="493"/>
      <c r="AZ69" s="493"/>
      <c r="BA69" s="494"/>
      <c r="BB69" s="846">
        <f t="shared" si="4"/>
        <v>6853405.1166328862</v>
      </c>
      <c r="BC69" s="84" t="s">
        <v>383</v>
      </c>
      <c r="BD69" s="638">
        <f t="shared" si="5"/>
        <v>5.0270000000000001</v>
      </c>
      <c r="BE69" s="84" t="s">
        <v>383</v>
      </c>
      <c r="BF69" s="639">
        <f t="shared" si="6"/>
        <v>977.59267599495138</v>
      </c>
      <c r="BG69" s="84" t="s">
        <v>383</v>
      </c>
      <c r="BH69" s="105">
        <v>0.95</v>
      </c>
      <c r="BI69" s="84" t="s">
        <v>383</v>
      </c>
      <c r="BJ69" s="640">
        <f t="shared" si="7"/>
        <v>1280.9014162986866</v>
      </c>
      <c r="BK69" s="84" t="s">
        <v>383</v>
      </c>
      <c r="BL69" s="58">
        <v>3</v>
      </c>
      <c r="BM69" s="860">
        <v>0</v>
      </c>
      <c r="BN69" s="860">
        <f t="shared" si="8"/>
        <v>-3</v>
      </c>
      <c r="BO69" s="511" t="s">
        <v>387</v>
      </c>
      <c r="BP69" s="513">
        <f t="shared" si="109"/>
        <v>0</v>
      </c>
      <c r="BQ69" s="511"/>
      <c r="BR69" s="514"/>
      <c r="BS69" s="513"/>
      <c r="BT69" s="107"/>
      <c r="BU69" s="108"/>
      <c r="BV69" s="799">
        <v>702.27</v>
      </c>
      <c r="BW69" s="805">
        <f>'9. Pre-Investment Baselines'!AW64-BV69</f>
        <v>-679.79332999999997</v>
      </c>
      <c r="BX69" s="812">
        <v>74.73</v>
      </c>
      <c r="BY69" s="803">
        <f>'9. Pre-Investment Baselines'!AX64-BX69</f>
        <v>-54.783330000000007</v>
      </c>
      <c r="BZ69" s="802">
        <v>1.526</v>
      </c>
      <c r="CA69" s="807">
        <f>'9. Pre-Investment Baselines'!AY64-BZ69</f>
        <v>-1.2789999999999999</v>
      </c>
      <c r="CB69" s="105">
        <v>1.2010000000000001</v>
      </c>
      <c r="CC69" s="809">
        <f>'9. Pre-Investment Baselines'!AZ64-CB69</f>
        <v>-0.9696667000000001</v>
      </c>
      <c r="CD69" s="257"/>
      <c r="CE69" s="94"/>
      <c r="CF69" s="495"/>
      <c r="CG69" s="94"/>
      <c r="CH69" s="95"/>
      <c r="CI69" s="52"/>
    </row>
    <row r="70" spans="1:102" ht="30" customHeight="1" x14ac:dyDescent="0.3">
      <c r="A70" s="500" t="str">
        <f t="shared" si="0"/>
        <v>Unitil</v>
      </c>
      <c r="B70" s="501" t="s">
        <v>383</v>
      </c>
      <c r="C70" s="501" t="s">
        <v>383</v>
      </c>
      <c r="D70" s="212" t="s">
        <v>440</v>
      </c>
      <c r="E70" s="212" t="s">
        <v>385</v>
      </c>
      <c r="F70" s="212" t="s">
        <v>445</v>
      </c>
      <c r="G70" s="212" t="s">
        <v>385</v>
      </c>
      <c r="H70" s="196" t="s">
        <v>387</v>
      </c>
      <c r="I70" s="534" t="s">
        <v>453</v>
      </c>
      <c r="J70" s="195" t="s">
        <v>454</v>
      </c>
      <c r="K70" s="835">
        <v>11.473000000000001</v>
      </c>
      <c r="L70" s="535">
        <v>4.1895801912310606</v>
      </c>
      <c r="M70" s="58">
        <v>151</v>
      </c>
      <c r="N70" s="559">
        <v>6071789.0741448477</v>
      </c>
      <c r="O70" s="536" t="s">
        <v>455</v>
      </c>
      <c r="P70" s="573">
        <v>5.29</v>
      </c>
      <c r="Q70" s="608" t="s">
        <v>448</v>
      </c>
      <c r="R70" s="525" t="s">
        <v>449</v>
      </c>
      <c r="S70" s="18">
        <v>23</v>
      </c>
      <c r="T70" s="16">
        <f t="shared" si="103"/>
        <v>23</v>
      </c>
      <c r="U70" s="18">
        <v>0</v>
      </c>
      <c r="V70" s="16">
        <f t="shared" si="103"/>
        <v>0</v>
      </c>
      <c r="W70" s="18">
        <v>0</v>
      </c>
      <c r="X70" s="16">
        <f t="shared" ref="X70" si="117">W70</f>
        <v>0</v>
      </c>
      <c r="Y70" s="18">
        <v>0</v>
      </c>
      <c r="Z70" s="16">
        <f t="shared" ref="Z70" si="118">Y70</f>
        <v>0</v>
      </c>
      <c r="AA70" s="561">
        <v>904</v>
      </c>
      <c r="AB70" s="562"/>
      <c r="AC70" s="561">
        <f t="shared" si="106"/>
        <v>0</v>
      </c>
      <c r="AD70" s="562"/>
      <c r="AE70" s="561">
        <f t="shared" si="107"/>
        <v>0</v>
      </c>
      <c r="AF70" s="562"/>
      <c r="AG70" s="561">
        <f t="shared" si="108"/>
        <v>0</v>
      </c>
      <c r="AH70" s="562"/>
      <c r="AI70" s="563"/>
      <c r="AJ70" s="562"/>
      <c r="AK70" s="564"/>
      <c r="AL70" s="565"/>
      <c r="AM70" s="566"/>
      <c r="AN70" s="565"/>
      <c r="AO70" s="565"/>
      <c r="AP70" s="565"/>
      <c r="AQ70" s="565"/>
      <c r="AR70" s="565"/>
      <c r="AS70" s="565"/>
      <c r="AT70" s="492"/>
      <c r="AU70" s="493"/>
      <c r="AV70" s="493"/>
      <c r="AW70" s="493"/>
      <c r="AX70" s="493"/>
      <c r="AY70" s="493"/>
      <c r="AZ70" s="493"/>
      <c r="BA70" s="494"/>
      <c r="BB70" s="846">
        <f t="shared" si="4"/>
        <v>6071789.0741448477</v>
      </c>
      <c r="BC70" s="84" t="s">
        <v>383</v>
      </c>
      <c r="BD70" s="638">
        <f t="shared" si="5"/>
        <v>5.29</v>
      </c>
      <c r="BE70" s="84" t="s">
        <v>383</v>
      </c>
      <c r="BF70" s="639">
        <f t="shared" si="6"/>
        <v>1028.7378667223579</v>
      </c>
      <c r="BG70" s="84" t="s">
        <v>383</v>
      </c>
      <c r="BH70" s="105">
        <v>0.95</v>
      </c>
      <c r="BI70" s="84" t="s">
        <v>383</v>
      </c>
      <c r="BJ70" s="640">
        <f t="shared" si="7"/>
        <v>1134.8173779576721</v>
      </c>
      <c r="BK70" s="84" t="s">
        <v>383</v>
      </c>
      <c r="BL70" s="212">
        <v>1</v>
      </c>
      <c r="BM70" s="862">
        <v>0</v>
      </c>
      <c r="BN70" s="862">
        <f t="shared" si="8"/>
        <v>-1</v>
      </c>
      <c r="BO70" s="511" t="s">
        <v>387</v>
      </c>
      <c r="BP70" s="513">
        <f t="shared" si="109"/>
        <v>0</v>
      </c>
      <c r="BQ70" s="511"/>
      <c r="BR70" s="514"/>
      <c r="BS70" s="513"/>
      <c r="BT70" s="107"/>
      <c r="BU70" s="108"/>
      <c r="BV70" s="799">
        <v>986.06</v>
      </c>
      <c r="BW70" s="805">
        <f>'9. Pre-Investment Baselines'!AW65-BV70</f>
        <v>-949.82332999999994</v>
      </c>
      <c r="BX70" s="812">
        <v>70.23</v>
      </c>
      <c r="BY70" s="803">
        <f>'9. Pre-Investment Baselines'!AX65-BX70</f>
        <v>-34.616670000000006</v>
      </c>
      <c r="BZ70" s="802">
        <v>1.6559999999999999</v>
      </c>
      <c r="CA70" s="807">
        <f>'9. Pre-Investment Baselines'!AY65-BZ70</f>
        <v>-0.90099999999999991</v>
      </c>
      <c r="CB70" s="105">
        <v>1.252</v>
      </c>
      <c r="CC70" s="809">
        <f>'9. Pre-Investment Baselines'!AZ65-CB70</f>
        <v>-0.50133329999999998</v>
      </c>
      <c r="CD70" s="257"/>
      <c r="CE70" s="94"/>
      <c r="CF70" s="495"/>
      <c r="CG70" s="94"/>
      <c r="CH70" s="95"/>
      <c r="CI70" s="52"/>
    </row>
    <row r="71" spans="1:102" ht="30" customHeight="1" thickBot="1" x14ac:dyDescent="0.35">
      <c r="A71" s="61" t="s">
        <v>446</v>
      </c>
      <c r="B71" s="502" t="s">
        <v>383</v>
      </c>
      <c r="C71" s="502" t="s">
        <v>383</v>
      </c>
      <c r="D71" s="209" t="s">
        <v>440</v>
      </c>
      <c r="E71" s="209" t="s">
        <v>385</v>
      </c>
      <c r="F71" s="503"/>
      <c r="G71" s="503"/>
      <c r="H71" s="504"/>
      <c r="I71" s="503"/>
      <c r="J71" s="503"/>
      <c r="K71" s="503"/>
      <c r="L71" s="503"/>
      <c r="M71" s="503"/>
      <c r="N71" s="503"/>
      <c r="O71" s="503"/>
      <c r="P71" s="574"/>
      <c r="Q71" s="510"/>
      <c r="R71" s="538"/>
      <c r="S71" s="569"/>
      <c r="T71" s="569"/>
      <c r="U71" s="569"/>
      <c r="V71" s="569"/>
      <c r="W71" s="569"/>
      <c r="X71" s="569"/>
      <c r="Y71" s="569"/>
      <c r="Z71" s="569"/>
      <c r="AA71" s="569"/>
      <c r="AB71" s="569"/>
      <c r="AC71" s="569"/>
      <c r="AD71" s="569"/>
      <c r="AE71" s="569"/>
      <c r="AF71" s="569"/>
      <c r="AG71" s="569"/>
      <c r="AH71" s="569"/>
      <c r="AI71" s="569"/>
      <c r="AJ71" s="569"/>
      <c r="AK71" s="569"/>
      <c r="AL71" s="575"/>
      <c r="AM71" s="504"/>
      <c r="AN71" s="575"/>
      <c r="AO71" s="504"/>
      <c r="AP71" s="575"/>
      <c r="AQ71" s="504"/>
      <c r="AR71" s="575"/>
      <c r="AS71" s="504"/>
      <c r="AT71" s="492"/>
      <c r="AU71" s="493"/>
      <c r="AV71" s="493"/>
      <c r="AW71" s="493"/>
      <c r="AX71" s="493"/>
      <c r="AY71" s="493"/>
      <c r="AZ71" s="493"/>
      <c r="BA71" s="494"/>
      <c r="BB71" s="847"/>
      <c r="BC71" s="848" t="s">
        <v>383</v>
      </c>
      <c r="BD71" s="849">
        <f t="shared" si="5"/>
        <v>0</v>
      </c>
      <c r="BE71" s="848" t="s">
        <v>383</v>
      </c>
      <c r="BF71" s="850">
        <f t="shared" si="6"/>
        <v>0</v>
      </c>
      <c r="BG71" s="848" t="s">
        <v>383</v>
      </c>
      <c r="BH71" s="506"/>
      <c r="BI71" s="84" t="s">
        <v>383</v>
      </c>
      <c r="BJ71" s="640">
        <f t="shared" si="7"/>
        <v>0</v>
      </c>
      <c r="BK71" s="84" t="s">
        <v>383</v>
      </c>
      <c r="BL71" s="503"/>
      <c r="BM71" s="863"/>
      <c r="BN71" s="863"/>
      <c r="BO71" s="515"/>
      <c r="BP71" s="517"/>
      <c r="BQ71" s="515"/>
      <c r="BR71" s="516"/>
      <c r="BS71" s="517"/>
      <c r="BT71" s="107"/>
      <c r="BU71" s="108"/>
      <c r="BV71" s="800"/>
      <c r="BW71" s="37"/>
      <c r="BX71" s="115"/>
      <c r="BY71" s="239"/>
      <c r="BZ71" s="505"/>
      <c r="CA71" s="506"/>
      <c r="CB71" s="506"/>
      <c r="CC71" s="810"/>
      <c r="CD71" s="257"/>
      <c r="CE71" s="94"/>
      <c r="CF71" s="495"/>
      <c r="CG71" s="94"/>
      <c r="CH71" s="95"/>
      <c r="CI71" s="52"/>
    </row>
    <row r="72" spans="1:102" ht="15" thickBot="1" x14ac:dyDescent="0.35">
      <c r="A72" s="372" t="s">
        <v>31</v>
      </c>
      <c r="B72" s="910"/>
      <c r="C72" s="911"/>
      <c r="D72" s="911"/>
      <c r="E72" s="911"/>
      <c r="F72" s="911"/>
      <c r="G72" s="911"/>
      <c r="H72" s="912"/>
      <c r="I72" s="47"/>
      <c r="J72" s="47"/>
      <c r="K72" s="47"/>
      <c r="L72" s="47"/>
      <c r="M72" s="47"/>
      <c r="N72" s="48"/>
      <c r="O72" s="48"/>
      <c r="P72" s="48"/>
      <c r="Q72" s="49"/>
      <c r="R72" s="140"/>
      <c r="S72" s="231">
        <f>SUM(S15:S71)</f>
        <v>3137</v>
      </c>
      <c r="T72" s="547">
        <f t="shared" ref="T72:AU72" si="119">SUM(T15:T71)</f>
        <v>3136</v>
      </c>
      <c r="U72" s="547">
        <f t="shared" si="119"/>
        <v>4</v>
      </c>
      <c r="V72" s="547">
        <f t="shared" si="119"/>
        <v>4</v>
      </c>
      <c r="W72" s="547">
        <f t="shared" si="119"/>
        <v>24</v>
      </c>
      <c r="X72" s="547">
        <f t="shared" si="119"/>
        <v>24</v>
      </c>
      <c r="Y72" s="547">
        <f t="shared" si="119"/>
        <v>1</v>
      </c>
      <c r="Z72" s="548">
        <f t="shared" si="119"/>
        <v>0</v>
      </c>
      <c r="AA72" s="231">
        <f t="shared" si="119"/>
        <v>49209</v>
      </c>
      <c r="AB72" s="547">
        <f t="shared" si="119"/>
        <v>0</v>
      </c>
      <c r="AC72" s="547">
        <f t="shared" si="119"/>
        <v>362.2</v>
      </c>
      <c r="AD72" s="547">
        <f t="shared" si="119"/>
        <v>0</v>
      </c>
      <c r="AE72" s="547">
        <f t="shared" si="119"/>
        <v>1203.2</v>
      </c>
      <c r="AF72" s="547">
        <f t="shared" si="119"/>
        <v>0</v>
      </c>
      <c r="AG72" s="820"/>
      <c r="AH72" s="820"/>
      <c r="AI72" s="547">
        <f t="shared" si="119"/>
        <v>0</v>
      </c>
      <c r="AJ72" s="547">
        <f t="shared" si="119"/>
        <v>0</v>
      </c>
      <c r="AK72" s="50">
        <f t="shared" si="119"/>
        <v>0</v>
      </c>
      <c r="AL72" s="576">
        <f t="shared" si="119"/>
        <v>0</v>
      </c>
      <c r="AM72" s="577">
        <f t="shared" si="119"/>
        <v>0</v>
      </c>
      <c r="AN72" s="577">
        <f t="shared" si="119"/>
        <v>0</v>
      </c>
      <c r="AO72" s="577">
        <f t="shared" si="119"/>
        <v>0</v>
      </c>
      <c r="AP72" s="577">
        <f t="shared" si="119"/>
        <v>0</v>
      </c>
      <c r="AQ72" s="577">
        <f t="shared" si="119"/>
        <v>0</v>
      </c>
      <c r="AR72" s="577">
        <f t="shared" si="119"/>
        <v>0</v>
      </c>
      <c r="AS72" s="578">
        <f t="shared" si="119"/>
        <v>0</v>
      </c>
      <c r="AT72" s="231">
        <f t="shared" si="119"/>
        <v>0</v>
      </c>
      <c r="AU72" s="547">
        <f t="shared" si="119"/>
        <v>0</v>
      </c>
      <c r="AV72" s="98"/>
      <c r="AW72" s="547">
        <f t="shared" ref="AW72:AZ72" si="120">SUM(AW15:AW71)</f>
        <v>0</v>
      </c>
      <c r="AX72" s="547">
        <f t="shared" si="120"/>
        <v>0</v>
      </c>
      <c r="AY72" s="547">
        <f t="shared" si="120"/>
        <v>0</v>
      </c>
      <c r="AZ72" s="547">
        <f t="shared" si="120"/>
        <v>0</v>
      </c>
      <c r="BA72" s="98"/>
      <c r="BB72" s="854">
        <f t="shared" ref="BB72:BG72" si="121">SUM(BB15:BB71)</f>
        <v>150297021.92180926</v>
      </c>
      <c r="BC72" s="831">
        <f t="shared" si="121"/>
        <v>235797.85822238063</v>
      </c>
      <c r="BD72" s="831">
        <f t="shared" si="121"/>
        <v>110.131</v>
      </c>
      <c r="BE72" s="831">
        <f t="shared" si="121"/>
        <v>0</v>
      </c>
      <c r="BF72" s="831">
        <f t="shared" si="121"/>
        <v>21416.999999999996</v>
      </c>
      <c r="BG72" s="831">
        <f t="shared" si="121"/>
        <v>0</v>
      </c>
      <c r="BH72" s="98"/>
      <c r="BI72" s="98"/>
      <c r="BJ72" s="547">
        <f t="shared" ref="BJ72:BN72" si="122">SUM(BJ15:BJ71)</f>
        <v>28090.513397186158</v>
      </c>
      <c r="BK72" s="547">
        <f t="shared" si="122"/>
        <v>68.14558102626799</v>
      </c>
      <c r="BL72" s="547">
        <f t="shared" si="122"/>
        <v>45</v>
      </c>
      <c r="BM72" s="864"/>
      <c r="BN72" s="864">
        <f t="shared" si="122"/>
        <v>-22.666666666666664</v>
      </c>
      <c r="BO72" s="80"/>
      <c r="BP72" s="79"/>
      <c r="BQ72" s="80"/>
      <c r="BR72" s="97"/>
      <c r="BS72" s="548">
        <f t="shared" ref="BS72:BT72" si="123">SUM(BS15:BS71)</f>
        <v>0</v>
      </c>
      <c r="BT72" s="231">
        <f t="shared" si="123"/>
        <v>0</v>
      </c>
      <c r="BU72" s="79"/>
      <c r="BV72" s="80"/>
      <c r="BW72" s="79"/>
      <c r="BX72" s="79"/>
      <c r="BY72" s="79"/>
      <c r="BZ72" s="80"/>
      <c r="CA72" s="79"/>
      <c r="CB72" s="79"/>
      <c r="CC72" s="51"/>
      <c r="CD72" s="85"/>
      <c r="CE72" s="231" t="e">
        <f>SUM(#REF!)</f>
        <v>#REF!</v>
      </c>
      <c r="CF72" s="548" t="e">
        <f>SUM(#REF!)</f>
        <v>#REF!</v>
      </c>
      <c r="CG72" s="231" t="e">
        <f>SUM(#REF!)</f>
        <v>#REF!</v>
      </c>
      <c r="CH72" s="548" t="e">
        <f>SUM(#REF!)</f>
        <v>#REF!</v>
      </c>
      <c r="CI72" s="539" t="e">
        <f>SUM(#REF!)</f>
        <v>#REF!</v>
      </c>
    </row>
    <row r="73" spans="1:102" x14ac:dyDescent="0.3">
      <c r="B73" s="6"/>
      <c r="C73" s="6"/>
      <c r="D73" s="7"/>
      <c r="E73" s="7"/>
      <c r="F73" s="124"/>
      <c r="G73" s="124"/>
      <c r="H73" s="7"/>
      <c r="I73" s="124"/>
      <c r="J73" s="124"/>
      <c r="K73" s="124"/>
      <c r="L73" s="124"/>
      <c r="M73" s="124"/>
      <c r="N73" s="580">
        <f>SUM(N15:N71)</f>
        <v>150297021.92180926</v>
      </c>
      <c r="P73" s="581">
        <f>SUM(P15:P70)</f>
        <v>110.131</v>
      </c>
      <c r="Q73" s="4"/>
      <c r="R73" s="4"/>
      <c r="S73" s="7"/>
      <c r="T73" s="7"/>
      <c r="U73" s="7"/>
      <c r="V73" s="7"/>
      <c r="W73" s="7"/>
      <c r="X73" s="7"/>
      <c r="Y73" s="7"/>
      <c r="Z73" s="7"/>
      <c r="AA73" s="7"/>
      <c r="AB73" s="7"/>
      <c r="AC73" s="7"/>
      <c r="AD73" s="7"/>
      <c r="AE73" s="7"/>
      <c r="AF73" s="7"/>
      <c r="AG73" s="7"/>
      <c r="AH73" s="7"/>
      <c r="AI73" s="7"/>
      <c r="AJ73" s="7"/>
      <c r="AK73" s="7"/>
      <c r="AL73" s="6"/>
      <c r="AM73" s="6"/>
      <c r="AN73" s="6"/>
      <c r="AO73" s="6"/>
      <c r="AP73" s="6"/>
      <c r="AQ73" s="6"/>
      <c r="AR73" s="6"/>
      <c r="AS73" s="6"/>
      <c r="AT73" s="6"/>
      <c r="AU73" s="6"/>
      <c r="AV73" s="6"/>
      <c r="AW73" s="6"/>
      <c r="AX73" s="6"/>
      <c r="AY73" s="6"/>
      <c r="AZ73" s="6"/>
      <c r="BA73" s="6"/>
    </row>
    <row r="74" spans="1:102" x14ac:dyDescent="0.3">
      <c r="B74" s="6"/>
      <c r="C74" s="6"/>
      <c r="D74" s="7"/>
      <c r="E74" s="7"/>
      <c r="F74" s="124"/>
      <c r="G74" s="124"/>
      <c r="H74" s="7"/>
      <c r="I74" s="124"/>
      <c r="J74" s="124"/>
      <c r="K74" s="124"/>
      <c r="L74" s="124"/>
      <c r="M74" s="124"/>
      <c r="Q74" s="4"/>
      <c r="R74" s="4"/>
      <c r="S74" s="7"/>
      <c r="T74" s="7"/>
      <c r="U74" s="7"/>
      <c r="V74" s="7"/>
      <c r="W74" s="7"/>
      <c r="X74" s="7"/>
      <c r="Y74" s="7"/>
      <c r="Z74" s="7"/>
      <c r="AA74" s="7"/>
      <c r="AB74" s="7"/>
      <c r="AC74" s="7"/>
      <c r="AD74" s="7"/>
      <c r="AE74" s="7"/>
      <c r="AF74" s="7"/>
      <c r="AG74" s="7"/>
      <c r="AH74" s="7"/>
      <c r="AI74" s="7"/>
      <c r="AJ74" s="7"/>
      <c r="AK74" s="7"/>
      <c r="AL74" s="6"/>
      <c r="AM74" s="6"/>
      <c r="AN74" s="6"/>
      <c r="AO74" s="6"/>
      <c r="AP74" s="6"/>
      <c r="AQ74" s="6"/>
      <c r="AR74" s="6"/>
      <c r="AS74" s="6"/>
      <c r="AT74" s="6"/>
      <c r="AU74" s="6"/>
      <c r="AV74" s="6"/>
      <c r="AW74" s="6"/>
      <c r="AX74" s="6"/>
      <c r="AY74" s="6"/>
      <c r="AZ74" s="6"/>
      <c r="BA74" s="6"/>
    </row>
    <row r="75" spans="1:102" x14ac:dyDescent="0.3">
      <c r="A75" s="150" t="s">
        <v>32</v>
      </c>
      <c r="B75" s="152"/>
      <c r="C75" s="151"/>
      <c r="D75" s="152"/>
      <c r="E75" s="152"/>
      <c r="F75" s="152"/>
      <c r="G75" s="152"/>
      <c r="H75" s="152"/>
      <c r="I75" s="152"/>
      <c r="J75" s="152"/>
      <c r="K75" s="152"/>
      <c r="L75" s="152"/>
      <c r="M75" s="152"/>
      <c r="N75" s="152"/>
      <c r="O75" s="152"/>
      <c r="P75" s="152"/>
      <c r="Q75" s="152"/>
      <c r="R75" s="152"/>
      <c r="S75" s="153"/>
      <c r="T75" s="218"/>
      <c r="U75" s="218"/>
      <c r="V75" s="218"/>
      <c r="BF75" s="340"/>
      <c r="BG75" s="340"/>
      <c r="BH75" s="72"/>
      <c r="BI75" s="72"/>
      <c r="BJ75" s="340"/>
      <c r="BK75" s="340"/>
      <c r="BO75" s="886"/>
      <c r="BP75" s="886"/>
      <c r="BQ75" s="886"/>
      <c r="BR75" s="886"/>
      <c r="BS75" s="886"/>
      <c r="BT75" s="886"/>
      <c r="BU75" s="886"/>
      <c r="CF75" s="116"/>
      <c r="CG75" s="112"/>
      <c r="CH75" s="112"/>
      <c r="CI75" s="112"/>
      <c r="CJ75" s="112"/>
      <c r="CK75" s="131"/>
      <c r="CL75" s="116"/>
      <c r="CM75" s="116"/>
      <c r="CN75" s="116"/>
      <c r="CO75" s="116"/>
      <c r="CP75" s="116"/>
      <c r="CQ75" s="116"/>
      <c r="CR75" s="116"/>
      <c r="CS75" s="116"/>
      <c r="CT75" s="116"/>
      <c r="CU75" s="116"/>
      <c r="CV75" s="116"/>
      <c r="CW75" s="116"/>
      <c r="CX75" s="132"/>
    </row>
    <row r="76" spans="1:102" x14ac:dyDescent="0.3">
      <c r="A76" s="350" t="s">
        <v>33</v>
      </c>
      <c r="B76" s="158"/>
      <c r="C76" s="155"/>
      <c r="D76" s="158"/>
      <c r="E76" s="158"/>
      <c r="F76" s="158"/>
      <c r="G76" s="158"/>
      <c r="H76" s="158"/>
      <c r="I76" s="158"/>
      <c r="J76" s="158"/>
      <c r="K76" s="158"/>
      <c r="L76" s="158"/>
      <c r="M76" s="158"/>
      <c r="N76" s="158"/>
      <c r="O76" s="158"/>
      <c r="P76" s="158"/>
      <c r="Q76" s="158"/>
      <c r="R76" s="158"/>
      <c r="S76" s="156"/>
      <c r="T76" s="218"/>
      <c r="U76" s="218"/>
      <c r="V76" s="218"/>
      <c r="BO76" s="540"/>
      <c r="BP76" s="540"/>
      <c r="BQ76" s="540"/>
      <c r="BR76" s="540"/>
      <c r="BS76" s="540"/>
      <c r="BT76" s="540"/>
      <c r="BU76" s="540"/>
      <c r="CF76" s="116"/>
      <c r="CG76" s="112"/>
      <c r="CH76" s="112"/>
      <c r="CI76" s="112"/>
      <c r="CJ76" s="112"/>
      <c r="CK76" s="131"/>
      <c r="CL76" s="116"/>
      <c r="CM76" s="116"/>
      <c r="CN76" s="116"/>
      <c r="CO76" s="116"/>
      <c r="CP76" s="116"/>
      <c r="CQ76" s="116"/>
      <c r="CR76" s="116"/>
      <c r="CS76" s="116"/>
      <c r="CT76" s="116"/>
      <c r="CU76" s="116"/>
      <c r="CV76" s="116"/>
      <c r="CW76" s="116"/>
      <c r="CX76" s="132"/>
    </row>
    <row r="77" spans="1:102" x14ac:dyDescent="0.3">
      <c r="A77" s="154" t="s">
        <v>53</v>
      </c>
      <c r="B77" s="158"/>
      <c r="C77" s="155"/>
      <c r="D77" s="158"/>
      <c r="E77" s="158"/>
      <c r="F77" s="158"/>
      <c r="G77" s="158"/>
      <c r="H77" s="158"/>
      <c r="I77" s="158"/>
      <c r="J77" s="158"/>
      <c r="K77" s="158"/>
      <c r="L77" s="158"/>
      <c r="M77" s="158"/>
      <c r="N77" s="158"/>
      <c r="O77" s="158"/>
      <c r="P77" s="158"/>
      <c r="Q77" s="158"/>
      <c r="R77" s="158"/>
      <c r="S77" s="156"/>
      <c r="T77" s="218"/>
      <c r="U77" s="218"/>
      <c r="V77" s="218"/>
      <c r="BO77" s="99"/>
      <c r="BP77" s="99"/>
      <c r="BQ77" s="99"/>
      <c r="BR77" s="99"/>
      <c r="BS77" s="99"/>
      <c r="BT77" s="99"/>
      <c r="BU77" s="99"/>
      <c r="CF77" s="135"/>
      <c r="CG77" s="133"/>
      <c r="CH77" s="133"/>
      <c r="CI77" s="133"/>
      <c r="CJ77" s="133"/>
      <c r="CK77" s="133"/>
      <c r="CL77" s="133"/>
      <c r="CM77" s="133"/>
      <c r="CN77" s="133"/>
      <c r="CO77" s="133"/>
      <c r="CP77" s="133"/>
      <c r="CQ77" s="133"/>
      <c r="CR77" s="133"/>
      <c r="CS77" s="133"/>
      <c r="CT77" s="133"/>
      <c r="CU77" s="133"/>
      <c r="CV77" s="133"/>
      <c r="CW77" s="133"/>
      <c r="CX77" s="134"/>
    </row>
    <row r="78" spans="1:102" ht="15" customHeight="1" x14ac:dyDescent="0.3">
      <c r="A78" s="164" t="s">
        <v>148</v>
      </c>
      <c r="B78" s="158"/>
      <c r="C78" s="142"/>
      <c r="D78" s="142"/>
      <c r="E78" s="142"/>
      <c r="F78" s="142"/>
      <c r="G78" s="142"/>
      <c r="H78" s="142"/>
      <c r="I78" s="142"/>
      <c r="J78" s="142"/>
      <c r="K78" s="142"/>
      <c r="L78" s="142"/>
      <c r="M78" s="142"/>
      <c r="N78" s="142"/>
      <c r="O78" s="142"/>
      <c r="P78" s="142"/>
      <c r="Q78" s="142"/>
      <c r="R78" s="142"/>
      <c r="S78" s="156"/>
      <c r="T78" s="218"/>
      <c r="U78" s="218"/>
      <c r="V78" s="218"/>
      <c r="BQ78" s="111"/>
      <c r="BR78" s="111"/>
      <c r="BS78" s="111"/>
      <c r="BT78" s="111"/>
      <c r="BU78" s="111"/>
      <c r="BV78" s="111"/>
      <c r="BW78" s="111"/>
      <c r="BX78" s="70"/>
      <c r="BY78" s="70"/>
    </row>
    <row r="79" spans="1:102" ht="15" customHeight="1" x14ac:dyDescent="0.3">
      <c r="A79" s="164" t="s">
        <v>149</v>
      </c>
      <c r="B79" s="158"/>
      <c r="C79" s="142"/>
      <c r="D79" s="142"/>
      <c r="E79" s="142"/>
      <c r="F79" s="142"/>
      <c r="G79" s="142"/>
      <c r="H79" s="142"/>
      <c r="I79" s="142"/>
      <c r="J79" s="142"/>
      <c r="K79" s="142"/>
      <c r="L79" s="142"/>
      <c r="M79" s="142"/>
      <c r="N79" s="142"/>
      <c r="O79" s="142"/>
      <c r="P79" s="142"/>
      <c r="Q79" s="142"/>
      <c r="R79" s="142"/>
      <c r="S79" s="156"/>
      <c r="T79" s="218"/>
      <c r="U79" s="218"/>
      <c r="V79" s="218"/>
      <c r="BQ79" s="111"/>
      <c r="BR79" s="111"/>
      <c r="BS79" s="111"/>
      <c r="BT79" s="111"/>
      <c r="BU79" s="111"/>
      <c r="BV79" s="111"/>
      <c r="BW79" s="111"/>
      <c r="BX79" s="70"/>
      <c r="BY79" s="70"/>
    </row>
    <row r="80" spans="1:102" ht="15" customHeight="1" x14ac:dyDescent="0.3">
      <c r="A80" s="164" t="s">
        <v>150</v>
      </c>
      <c r="B80" s="158"/>
      <c r="C80" s="142"/>
      <c r="D80" s="142"/>
      <c r="E80" s="142"/>
      <c r="F80" s="142"/>
      <c r="G80" s="142"/>
      <c r="H80" s="142"/>
      <c r="I80" s="142"/>
      <c r="J80" s="142"/>
      <c r="K80" s="142"/>
      <c r="L80" s="142"/>
      <c r="M80" s="142"/>
      <c r="N80" s="142"/>
      <c r="O80" s="142"/>
      <c r="P80" s="142"/>
      <c r="Q80" s="141"/>
      <c r="R80" s="141"/>
      <c r="S80" s="156"/>
      <c r="T80" s="218"/>
      <c r="U80" s="218"/>
      <c r="V80" s="218"/>
      <c r="BQ80" s="111"/>
      <c r="BR80" s="111"/>
      <c r="BS80" s="111"/>
      <c r="BT80" s="111"/>
      <c r="BU80" s="111"/>
      <c r="BV80" s="111"/>
      <c r="BW80" s="111"/>
      <c r="BX80" s="70"/>
      <c r="BY80" s="70"/>
    </row>
    <row r="81" spans="1:86" x14ac:dyDescent="0.3">
      <c r="A81" s="154" t="s">
        <v>54</v>
      </c>
      <c r="B81" s="158"/>
      <c r="C81" s="155"/>
      <c r="D81" s="158"/>
      <c r="E81" s="158"/>
      <c r="F81" s="158"/>
      <c r="G81" s="158"/>
      <c r="H81" s="158"/>
      <c r="I81" s="158"/>
      <c r="J81" s="158"/>
      <c r="K81" s="158"/>
      <c r="L81" s="158"/>
      <c r="M81" s="158"/>
      <c r="N81" s="158"/>
      <c r="O81" s="158"/>
      <c r="P81" s="158"/>
      <c r="Q81" s="158"/>
      <c r="R81" s="158"/>
      <c r="S81" s="156"/>
      <c r="T81" s="218"/>
      <c r="U81" s="218"/>
      <c r="V81" s="218"/>
      <c r="AR81" s="71"/>
      <c r="AS81" s="71"/>
      <c r="AT81" s="71"/>
      <c r="AU81" s="71"/>
      <c r="AV81" s="71"/>
      <c r="AW81" s="71"/>
      <c r="AX81" s="71"/>
      <c r="AY81" s="71"/>
      <c r="AZ81" s="71"/>
      <c r="BA81" s="71"/>
      <c r="BB81" s="82"/>
      <c r="BQ81" s="70"/>
      <c r="BR81" s="70"/>
      <c r="BS81" s="70"/>
      <c r="BT81" s="70"/>
      <c r="BU81" s="886"/>
      <c r="BV81" s="886"/>
      <c r="BW81" s="886"/>
      <c r="BX81" s="886"/>
      <c r="BY81" s="886"/>
      <c r="BZ81" s="99"/>
      <c r="CA81" s="99"/>
      <c r="CD81" s="71"/>
      <c r="CE81" s="71"/>
      <c r="CF81" s="71"/>
      <c r="CG81" s="71"/>
      <c r="CH81" s="71"/>
    </row>
    <row r="82" spans="1:86" x14ac:dyDescent="0.3">
      <c r="A82" s="164" t="s">
        <v>151</v>
      </c>
      <c r="B82" s="158"/>
      <c r="C82" s="160"/>
      <c r="D82" s="160"/>
      <c r="E82" s="160"/>
      <c r="F82" s="160"/>
      <c r="G82" s="160"/>
      <c r="H82" s="160"/>
      <c r="I82" s="160"/>
      <c r="J82" s="160"/>
      <c r="K82" s="160"/>
      <c r="L82" s="160"/>
      <c r="M82" s="160"/>
      <c r="N82" s="160"/>
      <c r="O82" s="160"/>
      <c r="P82" s="160"/>
      <c r="Q82" s="160"/>
      <c r="R82" s="160"/>
      <c r="S82" s="156"/>
      <c r="T82" s="218"/>
      <c r="U82" s="218"/>
      <c r="V82" s="218"/>
    </row>
    <row r="83" spans="1:86" x14ac:dyDescent="0.3">
      <c r="A83" s="154" t="s">
        <v>152</v>
      </c>
      <c r="B83" s="158"/>
      <c r="C83" s="155"/>
      <c r="D83" s="158"/>
      <c r="E83" s="158"/>
      <c r="F83" s="158"/>
      <c r="G83" s="158"/>
      <c r="H83" s="158"/>
      <c r="I83" s="158"/>
      <c r="J83" s="158"/>
      <c r="K83" s="158"/>
      <c r="L83" s="158"/>
      <c r="M83" s="158"/>
      <c r="N83" s="158"/>
      <c r="O83" s="158"/>
      <c r="P83" s="158"/>
      <c r="Q83" s="158"/>
      <c r="R83" s="158"/>
      <c r="S83" s="156"/>
      <c r="T83" s="218"/>
      <c r="U83" s="218"/>
      <c r="V83" s="218"/>
    </row>
    <row r="84" spans="1:86" ht="15" customHeight="1" x14ac:dyDescent="0.3">
      <c r="A84" s="164" t="s">
        <v>153</v>
      </c>
      <c r="B84" s="158"/>
      <c r="C84" s="142"/>
      <c r="D84" s="142"/>
      <c r="E84" s="142"/>
      <c r="F84" s="142"/>
      <c r="G84" s="142"/>
      <c r="H84" s="142"/>
      <c r="I84" s="142"/>
      <c r="J84" s="142"/>
      <c r="K84" s="142"/>
      <c r="L84" s="142"/>
      <c r="M84" s="142"/>
      <c r="N84" s="142"/>
      <c r="O84" s="142"/>
      <c r="P84" s="142"/>
      <c r="Q84" s="142"/>
      <c r="R84" s="142"/>
      <c r="S84" s="156"/>
      <c r="T84" s="218"/>
      <c r="U84" s="218"/>
      <c r="V84" s="218"/>
    </row>
    <row r="85" spans="1:86" x14ac:dyDescent="0.3">
      <c r="A85" s="164" t="s">
        <v>154</v>
      </c>
      <c r="B85" s="158"/>
      <c r="C85" s="160"/>
      <c r="D85" s="160"/>
      <c r="E85" s="160"/>
      <c r="F85" s="160"/>
      <c r="G85" s="160"/>
      <c r="H85" s="160"/>
      <c r="I85" s="160"/>
      <c r="J85" s="160"/>
      <c r="K85" s="160"/>
      <c r="L85" s="160"/>
      <c r="M85" s="160"/>
      <c r="N85" s="160"/>
      <c r="O85" s="160"/>
      <c r="P85" s="160"/>
      <c r="Q85" s="160"/>
      <c r="R85" s="160"/>
      <c r="S85" s="156"/>
      <c r="T85" s="218"/>
      <c r="U85" s="218"/>
      <c r="V85" s="218"/>
    </row>
    <row r="86" spans="1:86" s="136" customFormat="1" x14ac:dyDescent="0.3">
      <c r="A86" s="154" t="s">
        <v>155</v>
      </c>
      <c r="B86" s="159"/>
      <c r="C86" s="155"/>
      <c r="D86" s="159"/>
      <c r="E86" s="159"/>
      <c r="F86" s="159"/>
      <c r="G86" s="159"/>
      <c r="H86" s="159"/>
      <c r="I86" s="159"/>
      <c r="J86" s="159"/>
      <c r="K86" s="159"/>
      <c r="L86" s="159"/>
      <c r="M86" s="159"/>
      <c r="N86" s="159"/>
      <c r="O86" s="159"/>
      <c r="P86" s="159"/>
      <c r="Q86" s="159"/>
      <c r="R86" s="159"/>
      <c r="S86" s="165"/>
      <c r="T86" s="351"/>
      <c r="U86" s="351"/>
      <c r="V86" s="351"/>
      <c r="BB86" s="83"/>
    </row>
    <row r="87" spans="1:86" s="136" customFormat="1" x14ac:dyDescent="0.3">
      <c r="A87" s="164" t="s">
        <v>156</v>
      </c>
      <c r="B87" s="159"/>
      <c r="C87" s="142"/>
      <c r="D87" s="142"/>
      <c r="E87" s="142"/>
      <c r="F87" s="142"/>
      <c r="G87" s="142"/>
      <c r="H87" s="142"/>
      <c r="I87" s="142"/>
      <c r="J87" s="142"/>
      <c r="K87" s="142"/>
      <c r="L87" s="142"/>
      <c r="M87" s="142"/>
      <c r="N87" s="142"/>
      <c r="O87" s="142"/>
      <c r="P87" s="142"/>
      <c r="Q87" s="142"/>
      <c r="R87" s="142"/>
      <c r="S87" s="165"/>
      <c r="T87" s="351"/>
      <c r="U87" s="351"/>
      <c r="V87" s="351"/>
      <c r="BB87" s="83"/>
    </row>
    <row r="88" spans="1:86" x14ac:dyDescent="0.3">
      <c r="A88" s="154" t="s">
        <v>157</v>
      </c>
      <c r="B88" s="158"/>
      <c r="C88" s="155"/>
      <c r="D88" s="158"/>
      <c r="E88" s="158"/>
      <c r="F88" s="158"/>
      <c r="G88" s="158"/>
      <c r="H88" s="158"/>
      <c r="I88" s="158"/>
      <c r="J88" s="158"/>
      <c r="K88" s="158"/>
      <c r="L88" s="158"/>
      <c r="M88" s="158"/>
      <c r="N88" s="158"/>
      <c r="O88" s="158"/>
      <c r="P88" s="158"/>
      <c r="Q88" s="158"/>
      <c r="R88" s="158"/>
      <c r="S88" s="156"/>
      <c r="T88" s="218"/>
      <c r="U88" s="218"/>
      <c r="V88" s="218"/>
    </row>
    <row r="89" spans="1:86" ht="15" customHeight="1" x14ac:dyDescent="0.3">
      <c r="A89" s="164" t="s">
        <v>158</v>
      </c>
      <c r="B89" s="158"/>
      <c r="C89" s="142"/>
      <c r="D89" s="142"/>
      <c r="E89" s="142"/>
      <c r="F89" s="142"/>
      <c r="G89" s="142"/>
      <c r="H89" s="142"/>
      <c r="I89" s="142"/>
      <c r="J89" s="142"/>
      <c r="K89" s="142"/>
      <c r="L89" s="142"/>
      <c r="M89" s="142"/>
      <c r="N89" s="142"/>
      <c r="O89" s="142"/>
      <c r="P89" s="142"/>
      <c r="Q89" s="142"/>
      <c r="R89" s="142"/>
      <c r="S89" s="156"/>
      <c r="T89" s="218"/>
      <c r="U89" s="218"/>
      <c r="V89" s="218"/>
    </row>
    <row r="90" spans="1:86" ht="15" customHeight="1" x14ac:dyDescent="0.3">
      <c r="A90" s="164" t="s">
        <v>159</v>
      </c>
      <c r="B90" s="158"/>
      <c r="C90" s="142"/>
      <c r="D90" s="142"/>
      <c r="E90" s="142"/>
      <c r="F90" s="142"/>
      <c r="G90" s="142"/>
      <c r="H90" s="142"/>
      <c r="I90" s="142"/>
      <c r="J90" s="142"/>
      <c r="K90" s="142"/>
      <c r="L90" s="142"/>
      <c r="M90" s="142"/>
      <c r="N90" s="142"/>
      <c r="O90" s="142"/>
      <c r="P90" s="142"/>
      <c r="Q90" s="142"/>
      <c r="R90" s="142"/>
      <c r="S90" s="156"/>
      <c r="T90" s="218"/>
      <c r="U90" s="218"/>
      <c r="V90" s="218"/>
    </row>
    <row r="91" spans="1:86" ht="15" customHeight="1" x14ac:dyDescent="0.3">
      <c r="A91" s="164" t="s">
        <v>160</v>
      </c>
      <c r="B91" s="158"/>
      <c r="C91" s="142"/>
      <c r="D91" s="142"/>
      <c r="E91" s="142"/>
      <c r="F91" s="142"/>
      <c r="G91" s="142"/>
      <c r="H91" s="142"/>
      <c r="I91" s="142"/>
      <c r="J91" s="142"/>
      <c r="K91" s="142"/>
      <c r="L91" s="142"/>
      <c r="M91" s="142"/>
      <c r="N91" s="142"/>
      <c r="O91" s="142"/>
      <c r="P91" s="142"/>
      <c r="Q91" s="142"/>
      <c r="R91" s="142"/>
      <c r="S91" s="156"/>
      <c r="T91" s="218"/>
      <c r="U91" s="218"/>
      <c r="V91" s="218"/>
    </row>
    <row r="92" spans="1:86" ht="15" customHeight="1" x14ac:dyDescent="0.3">
      <c r="A92" s="166" t="s">
        <v>161</v>
      </c>
      <c r="B92" s="158"/>
      <c r="C92" s="161"/>
      <c r="D92" s="161"/>
      <c r="E92" s="161"/>
      <c r="F92" s="161"/>
      <c r="G92" s="161"/>
      <c r="H92" s="161"/>
      <c r="I92" s="161"/>
      <c r="J92" s="161"/>
      <c r="K92" s="161"/>
      <c r="L92" s="161"/>
      <c r="M92" s="161"/>
      <c r="N92" s="161"/>
      <c r="O92" s="161"/>
      <c r="P92" s="161"/>
      <c r="Q92" s="161"/>
      <c r="R92" s="161"/>
      <c r="S92" s="156"/>
      <c r="T92" s="218"/>
      <c r="U92" s="218"/>
      <c r="V92" s="218"/>
    </row>
    <row r="93" spans="1:86" x14ac:dyDescent="0.3">
      <c r="A93" s="157" t="s">
        <v>162</v>
      </c>
      <c r="B93" s="158"/>
      <c r="C93" s="155"/>
      <c r="D93" s="158"/>
      <c r="E93" s="158"/>
      <c r="F93" s="158"/>
      <c r="G93" s="158"/>
      <c r="H93" s="158"/>
      <c r="I93" s="158"/>
      <c r="J93" s="158"/>
      <c r="K93" s="158"/>
      <c r="L93" s="158"/>
      <c r="M93" s="158"/>
      <c r="N93" s="158"/>
      <c r="O93" s="158"/>
      <c r="P93" s="158"/>
      <c r="Q93" s="158"/>
      <c r="R93" s="158"/>
      <c r="S93" s="156"/>
      <c r="T93" s="218"/>
      <c r="U93" s="218"/>
      <c r="V93" s="218"/>
    </row>
    <row r="94" spans="1:86" x14ac:dyDescent="0.3">
      <c r="A94" s="166" t="s">
        <v>163</v>
      </c>
      <c r="B94" s="158"/>
      <c r="C94" s="161"/>
      <c r="D94" s="161"/>
      <c r="E94" s="161"/>
      <c r="F94" s="161"/>
      <c r="G94" s="161"/>
      <c r="H94" s="161"/>
      <c r="I94" s="161"/>
      <c r="J94" s="161"/>
      <c r="K94" s="161"/>
      <c r="L94" s="161"/>
      <c r="M94" s="161"/>
      <c r="N94" s="161"/>
      <c r="O94" s="161"/>
      <c r="P94" s="161"/>
      <c r="Q94" s="161"/>
      <c r="R94" s="161"/>
      <c r="S94" s="156"/>
      <c r="T94" s="218"/>
      <c r="U94" s="218"/>
      <c r="V94" s="218"/>
    </row>
    <row r="95" spans="1:86" x14ac:dyDescent="0.3">
      <c r="A95" s="166" t="s">
        <v>164</v>
      </c>
      <c r="B95" s="158"/>
      <c r="C95" s="162"/>
      <c r="D95" s="162"/>
      <c r="E95" s="162"/>
      <c r="F95" s="162"/>
      <c r="G95" s="162"/>
      <c r="H95" s="162"/>
      <c r="I95" s="162"/>
      <c r="J95" s="162"/>
      <c r="K95" s="162"/>
      <c r="L95" s="162"/>
      <c r="M95" s="162"/>
      <c r="N95" s="162"/>
      <c r="O95" s="162"/>
      <c r="P95" s="162"/>
      <c r="Q95" s="162"/>
      <c r="R95" s="162"/>
      <c r="S95" s="156"/>
      <c r="T95" s="218"/>
      <c r="U95" s="218"/>
      <c r="V95" s="218"/>
    </row>
    <row r="96" spans="1:86" x14ac:dyDescent="0.3">
      <c r="A96" s="167" t="s">
        <v>165</v>
      </c>
      <c r="B96" s="168"/>
      <c r="C96" s="144"/>
      <c r="D96" s="144"/>
      <c r="E96" s="144"/>
      <c r="F96" s="144"/>
      <c r="G96" s="144"/>
      <c r="H96" s="144"/>
      <c r="I96" s="144"/>
      <c r="J96" s="144"/>
      <c r="K96" s="144"/>
      <c r="L96" s="144"/>
      <c r="M96" s="144"/>
      <c r="N96" s="144"/>
      <c r="O96" s="144"/>
      <c r="P96" s="144"/>
      <c r="Q96" s="144"/>
      <c r="R96" s="144"/>
      <c r="S96" s="169"/>
      <c r="T96" s="218"/>
      <c r="U96" s="218"/>
      <c r="V96" s="218"/>
    </row>
    <row r="97" spans="3:3" x14ac:dyDescent="0.3">
      <c r="C97" s="72"/>
    </row>
  </sheetData>
  <mergeCells count="37">
    <mergeCell ref="B72:H72"/>
    <mergeCell ref="AI13:AJ13"/>
    <mergeCell ref="AR13:AS13"/>
    <mergeCell ref="BV13:CC13"/>
    <mergeCell ref="S13:T13"/>
    <mergeCell ref="U13:V13"/>
    <mergeCell ref="W13:X13"/>
    <mergeCell ref="Y13:Z13"/>
    <mergeCell ref="AA13:AB13"/>
    <mergeCell ref="AL13:AM13"/>
    <mergeCell ref="AN13:AO13"/>
    <mergeCell ref="AP13:AQ13"/>
    <mergeCell ref="A11:H13"/>
    <mergeCell ref="I11:P13"/>
    <mergeCell ref="Q11:R13"/>
    <mergeCell ref="BB12:BN13"/>
    <mergeCell ref="BU81:BY81"/>
    <mergeCell ref="CD11:CI11"/>
    <mergeCell ref="BQ12:BS13"/>
    <mergeCell ref="BT12:BU13"/>
    <mergeCell ref="BV12:CC12"/>
    <mergeCell ref="CD12:CF12"/>
    <mergeCell ref="CG12:CH12"/>
    <mergeCell ref="CI12:CI13"/>
    <mergeCell ref="CE13:CF13"/>
    <mergeCell ref="CG13:CH13"/>
    <mergeCell ref="BO12:BP13"/>
    <mergeCell ref="AT11:BA13"/>
    <mergeCell ref="BB11:CC11"/>
    <mergeCell ref="AC13:AD13"/>
    <mergeCell ref="BO75:BU75"/>
    <mergeCell ref="AE13:AF13"/>
    <mergeCell ref="S11:AS11"/>
    <mergeCell ref="S12:Z12"/>
    <mergeCell ref="AA12:AK12"/>
    <mergeCell ref="AL12:AS12"/>
    <mergeCell ref="AG13:AH13"/>
  </mergeCells>
  <printOptions headings="1" gridLines="1"/>
  <pageMargins left="0.7" right="0.7" top="0.75" bottom="0.75" header="0.3" footer="0.3"/>
  <pageSetup scale="1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U97"/>
  <sheetViews>
    <sheetView zoomScaleNormal="100" workbookViewId="0">
      <selection activeCell="S57" sqref="S57"/>
    </sheetView>
  </sheetViews>
  <sheetFormatPr defaultColWidth="8.6640625" defaultRowHeight="14.4" x14ac:dyDescent="0.3"/>
  <cols>
    <col min="1" max="1" width="23.33203125" style="123" customWidth="1"/>
    <col min="2" max="4" width="15.6640625" style="123" customWidth="1"/>
    <col min="5" max="6" width="22" style="123" bestFit="1" customWidth="1"/>
    <col min="7" max="7" width="15.6640625" style="123" customWidth="1"/>
    <col min="8" max="8" width="18.88671875" style="123" customWidth="1"/>
    <col min="9" max="9" width="14.6640625" style="123" customWidth="1"/>
    <col min="10" max="13" width="12.6640625" style="123" customWidth="1"/>
    <col min="14" max="14" width="17.33203125" style="123" customWidth="1"/>
    <col min="15" max="15" width="15.5546875" style="123" customWidth="1"/>
    <col min="16" max="16" width="14.109375" style="123" customWidth="1"/>
    <col min="17" max="17" width="18.33203125" style="123" customWidth="1"/>
    <col min="18" max="18" width="17.5546875" style="123" customWidth="1"/>
    <col min="19" max="24" width="18.6640625" style="123" customWidth="1"/>
    <col min="25" max="26" width="18.44140625" style="123" customWidth="1"/>
    <col min="27" max="33" width="19.6640625" style="123" customWidth="1"/>
    <col min="34" max="34" width="21.33203125" style="123" customWidth="1"/>
    <col min="35" max="35" width="18.6640625" style="123" customWidth="1"/>
    <col min="36" max="41" width="19.6640625" style="123" customWidth="1"/>
    <col min="42" max="42" width="21.44140625" style="123" customWidth="1"/>
    <col min="43" max="43" width="22.6640625" style="123" bestFit="1" customWidth="1"/>
    <col min="44" max="51" width="19.6640625" style="123" customWidth="1"/>
    <col min="52" max="52" width="13.6640625" style="81" customWidth="1"/>
    <col min="53" max="54" width="13.6640625" style="123" customWidth="1"/>
    <col min="55" max="55" width="15.109375" style="123" customWidth="1"/>
    <col min="56" max="62" width="13.6640625" style="123" customWidth="1"/>
    <col min="63" max="63" width="18.88671875" style="123" customWidth="1"/>
    <col min="64" max="65" width="14.6640625" style="123" customWidth="1"/>
    <col min="66" max="70" width="15.6640625" style="123" customWidth="1"/>
    <col min="71" max="78" width="20.109375" style="123" customWidth="1"/>
    <col min="79" max="79" width="25.6640625" style="123" customWidth="1"/>
    <col min="80" max="80" width="17" style="123" customWidth="1"/>
    <col min="81" max="81" width="18.109375" style="123" customWidth="1"/>
    <col min="82" max="82" width="20.109375" style="123" customWidth="1"/>
    <col min="83" max="83" width="21.44140625" style="123" customWidth="1"/>
    <col min="84" max="84" width="14.44140625" style="123" customWidth="1"/>
    <col min="85" max="16384" width="8.6640625" style="123"/>
  </cols>
  <sheetData>
    <row r="1" spans="1:84" ht="21.75" customHeight="1" x14ac:dyDescent="0.35">
      <c r="A1" s="1" t="s">
        <v>167</v>
      </c>
      <c r="B1" s="1" t="s">
        <v>46</v>
      </c>
      <c r="C1" s="139"/>
      <c r="D1" s="250" t="s">
        <v>2</v>
      </c>
      <c r="E1" s="250" t="s">
        <v>69</v>
      </c>
      <c r="G1" s="1"/>
      <c r="H1" s="1"/>
      <c r="S1" s="23"/>
      <c r="T1" s="24"/>
      <c r="U1" s="23"/>
      <c r="V1" s="23"/>
      <c r="W1" s="23"/>
      <c r="X1" s="23"/>
      <c r="AA1" s="23"/>
      <c r="AB1" s="23"/>
      <c r="AC1" s="23"/>
      <c r="AD1" s="23"/>
      <c r="AE1" s="23"/>
      <c r="AF1" s="23"/>
      <c r="AG1" s="23"/>
      <c r="AH1" s="23"/>
      <c r="AI1" s="23"/>
      <c r="AJ1" s="23"/>
      <c r="AK1" s="23"/>
      <c r="AL1" s="23"/>
      <c r="AM1" s="23"/>
      <c r="AN1" s="23"/>
      <c r="AO1" s="23"/>
      <c r="AP1" s="23"/>
    </row>
    <row r="2" spans="1:84" x14ac:dyDescent="0.3">
      <c r="A2" s="2"/>
      <c r="B2" s="2"/>
      <c r="C2" s="2"/>
      <c r="D2" s="250" t="s">
        <v>4</v>
      </c>
      <c r="E2" s="265">
        <v>2024</v>
      </c>
    </row>
    <row r="3" spans="1:84" x14ac:dyDescent="0.3">
      <c r="B3" s="2"/>
      <c r="C3" s="2"/>
      <c r="D3" s="2"/>
      <c r="E3" s="2"/>
    </row>
    <row r="4" spans="1:84" ht="15" customHeight="1" x14ac:dyDescent="0.3">
      <c r="A4" s="181" t="s">
        <v>47</v>
      </c>
      <c r="B4" s="152"/>
      <c r="C4" s="146"/>
      <c r="D4" s="146"/>
      <c r="E4" s="146"/>
      <c r="F4" s="147"/>
      <c r="G4" s="148"/>
      <c r="H4" s="148"/>
      <c r="I4" s="148"/>
      <c r="J4" s="148"/>
      <c r="K4" s="148"/>
      <c r="L4" s="148"/>
      <c r="M4" s="124"/>
      <c r="N4" s="124"/>
      <c r="O4" s="124"/>
      <c r="P4" s="124"/>
      <c r="Q4" s="124"/>
    </row>
    <row r="5" spans="1:84" ht="15" customHeight="1" x14ac:dyDescent="0.3">
      <c r="A5" s="164" t="s">
        <v>48</v>
      </c>
      <c r="B5" s="158"/>
      <c r="C5" s="142"/>
      <c r="D5" s="142"/>
      <c r="E5" s="142"/>
      <c r="F5" s="143"/>
      <c r="G5" s="71"/>
      <c r="H5" s="71"/>
      <c r="I5" s="71"/>
      <c r="J5" s="71"/>
      <c r="K5" s="71"/>
      <c r="L5" s="71"/>
    </row>
    <row r="6" spans="1:84" ht="15" customHeight="1" x14ac:dyDescent="0.3">
      <c r="A6" s="164" t="s">
        <v>49</v>
      </c>
      <c r="B6" s="158"/>
      <c r="C6" s="142"/>
      <c r="D6" s="142"/>
      <c r="E6" s="142"/>
      <c r="F6" s="143"/>
      <c r="G6" s="71"/>
      <c r="H6" s="71"/>
      <c r="I6" s="71"/>
      <c r="J6" s="71"/>
      <c r="K6" s="71"/>
      <c r="L6" s="71"/>
      <c r="T6" s="39"/>
      <c r="U6" s="39"/>
      <c r="V6" s="39"/>
    </row>
    <row r="7" spans="1:84" ht="15" customHeight="1" x14ac:dyDescent="0.3">
      <c r="A7" s="164" t="s">
        <v>50</v>
      </c>
      <c r="B7" s="158"/>
      <c r="C7" s="142"/>
      <c r="D7" s="142"/>
      <c r="E7" s="142"/>
      <c r="F7" s="143"/>
      <c r="G7" s="71"/>
      <c r="H7" s="71"/>
      <c r="I7" s="71"/>
      <c r="J7" s="71"/>
      <c r="K7" s="71"/>
      <c r="L7" s="71"/>
      <c r="T7" s="39"/>
      <c r="U7" s="39"/>
      <c r="V7" s="39"/>
    </row>
    <row r="8" spans="1:84" ht="15" customHeight="1" x14ac:dyDescent="0.3">
      <c r="A8" s="164" t="s">
        <v>51</v>
      </c>
      <c r="B8" s="158"/>
      <c r="C8" s="142"/>
      <c r="D8" s="142"/>
      <c r="E8" s="142"/>
      <c r="F8" s="143"/>
      <c r="G8" s="71"/>
      <c r="H8" s="71"/>
      <c r="I8" s="71"/>
      <c r="J8" s="71"/>
      <c r="K8" s="71"/>
      <c r="L8" s="71"/>
      <c r="T8" s="39"/>
      <c r="U8" s="39"/>
      <c r="V8" s="39"/>
    </row>
    <row r="9" spans="1:84" ht="15" customHeight="1" x14ac:dyDescent="0.3">
      <c r="A9" s="167" t="s">
        <v>52</v>
      </c>
      <c r="B9" s="168"/>
      <c r="C9" s="144"/>
      <c r="D9" s="144"/>
      <c r="E9" s="144"/>
      <c r="F9" s="145"/>
      <c r="G9" s="71"/>
      <c r="H9" s="71"/>
      <c r="I9" s="71"/>
      <c r="J9" s="71"/>
      <c r="K9" s="71"/>
      <c r="L9" s="71"/>
      <c r="T9" s="39"/>
      <c r="U9" s="39"/>
      <c r="V9" s="39"/>
    </row>
    <row r="10" spans="1:84" ht="15" thickBot="1" x14ac:dyDescent="0.35"/>
    <row r="11" spans="1:84" ht="15" thickBot="1" x14ac:dyDescent="0.35">
      <c r="A11" s="917" t="s">
        <v>53</v>
      </c>
      <c r="B11" s="918"/>
      <c r="C11" s="918"/>
      <c r="D11" s="918"/>
      <c r="E11" s="918"/>
      <c r="F11" s="918"/>
      <c r="G11" s="918"/>
      <c r="H11" s="919"/>
      <c r="I11" s="941" t="s">
        <v>54</v>
      </c>
      <c r="J11" s="941"/>
      <c r="K11" s="941"/>
      <c r="L11" s="941"/>
      <c r="M11" s="941"/>
      <c r="N11" s="941"/>
      <c r="O11" s="941"/>
      <c r="P11" s="942"/>
      <c r="Q11" s="932" t="s">
        <v>55</v>
      </c>
      <c r="R11" s="933"/>
      <c r="S11" s="947" t="s">
        <v>56</v>
      </c>
      <c r="T11" s="948"/>
      <c r="U11" s="948"/>
      <c r="V11" s="948"/>
      <c r="W11" s="948"/>
      <c r="X11" s="948"/>
      <c r="Y11" s="948"/>
      <c r="Z11" s="948"/>
      <c r="AA11" s="948"/>
      <c r="AB11" s="948"/>
      <c r="AC11" s="948"/>
      <c r="AD11" s="948"/>
      <c r="AE11" s="948"/>
      <c r="AF11" s="948"/>
      <c r="AG11" s="948"/>
      <c r="AH11" s="948"/>
      <c r="AI11" s="948"/>
      <c r="AJ11" s="948"/>
      <c r="AK11" s="948"/>
      <c r="AL11" s="948"/>
      <c r="AM11" s="948"/>
      <c r="AN11" s="948"/>
      <c r="AO11" s="948"/>
      <c r="AP11" s="948"/>
      <c r="AQ11" s="949"/>
      <c r="AR11" s="923" t="s">
        <v>333</v>
      </c>
      <c r="AS11" s="924"/>
      <c r="AT11" s="924"/>
      <c r="AU11" s="924"/>
      <c r="AV11" s="924"/>
      <c r="AW11" s="924"/>
      <c r="AX11" s="924"/>
      <c r="AY11" s="925"/>
      <c r="AZ11" s="901" t="s">
        <v>57</v>
      </c>
      <c r="BA11" s="902"/>
      <c r="BB11" s="902"/>
      <c r="BC11" s="902"/>
      <c r="BD11" s="902"/>
      <c r="BE11" s="902"/>
      <c r="BF11" s="902"/>
      <c r="BG11" s="902"/>
      <c r="BH11" s="902"/>
      <c r="BI11" s="902"/>
      <c r="BJ11" s="902"/>
      <c r="BK11" s="902"/>
      <c r="BL11" s="902"/>
      <c r="BM11" s="902"/>
      <c r="BN11" s="902"/>
      <c r="BO11" s="902"/>
      <c r="BP11" s="902"/>
      <c r="BQ11" s="902"/>
      <c r="BR11" s="902"/>
      <c r="BS11" s="902"/>
      <c r="BT11" s="902"/>
      <c r="BU11" s="902"/>
      <c r="BV11" s="902"/>
      <c r="BW11" s="902"/>
      <c r="BX11" s="902"/>
      <c r="BY11" s="902"/>
      <c r="BZ11" s="903"/>
      <c r="CA11" s="887" t="s">
        <v>58</v>
      </c>
      <c r="CB11" s="888"/>
      <c r="CC11" s="888"/>
      <c r="CD11" s="888"/>
      <c r="CE11" s="888"/>
      <c r="CF11" s="889"/>
    </row>
    <row r="12" spans="1:84" ht="15.75" customHeight="1" thickBot="1" x14ac:dyDescent="0.35">
      <c r="A12" s="920"/>
      <c r="B12" s="921"/>
      <c r="C12" s="921"/>
      <c r="D12" s="921"/>
      <c r="E12" s="921"/>
      <c r="F12" s="921"/>
      <c r="G12" s="921"/>
      <c r="H12" s="922"/>
      <c r="I12" s="943"/>
      <c r="J12" s="943"/>
      <c r="K12" s="943"/>
      <c r="L12" s="943"/>
      <c r="M12" s="943"/>
      <c r="N12" s="943"/>
      <c r="O12" s="943"/>
      <c r="P12" s="944"/>
      <c r="Q12" s="934"/>
      <c r="R12" s="935"/>
      <c r="S12" s="938" t="s">
        <v>59</v>
      </c>
      <c r="T12" s="939"/>
      <c r="U12" s="939"/>
      <c r="V12" s="939"/>
      <c r="W12" s="939"/>
      <c r="X12" s="939"/>
      <c r="Y12" s="939"/>
      <c r="Z12" s="940"/>
      <c r="AA12" s="938" t="s">
        <v>60</v>
      </c>
      <c r="AB12" s="939"/>
      <c r="AC12" s="939"/>
      <c r="AD12" s="939"/>
      <c r="AE12" s="939"/>
      <c r="AF12" s="939"/>
      <c r="AG12" s="939"/>
      <c r="AH12" s="939"/>
      <c r="AI12" s="940"/>
      <c r="AJ12" s="950" t="s">
        <v>61</v>
      </c>
      <c r="AK12" s="951"/>
      <c r="AL12" s="951"/>
      <c r="AM12" s="951"/>
      <c r="AN12" s="951"/>
      <c r="AO12" s="951"/>
      <c r="AP12" s="951"/>
      <c r="AQ12" s="952"/>
      <c r="AR12" s="926"/>
      <c r="AS12" s="927"/>
      <c r="AT12" s="927"/>
      <c r="AU12" s="927"/>
      <c r="AV12" s="927"/>
      <c r="AW12" s="927"/>
      <c r="AX12" s="927"/>
      <c r="AY12" s="928"/>
      <c r="AZ12" s="887" t="s">
        <v>62</v>
      </c>
      <c r="BA12" s="904"/>
      <c r="BB12" s="904"/>
      <c r="BC12" s="904"/>
      <c r="BD12" s="904"/>
      <c r="BE12" s="904"/>
      <c r="BF12" s="904"/>
      <c r="BG12" s="904"/>
      <c r="BH12" s="904"/>
      <c r="BI12" s="904"/>
      <c r="BJ12" s="904"/>
      <c r="BK12" s="905"/>
      <c r="BL12" s="895" t="s">
        <v>63</v>
      </c>
      <c r="BM12" s="896"/>
      <c r="BN12" s="895" t="s">
        <v>64</v>
      </c>
      <c r="BO12" s="896"/>
      <c r="BP12" s="897"/>
      <c r="BQ12" s="895" t="s">
        <v>65</v>
      </c>
      <c r="BR12" s="897"/>
      <c r="BS12" s="890" t="s">
        <v>66</v>
      </c>
      <c r="BT12" s="909"/>
      <c r="BU12" s="909"/>
      <c r="BV12" s="909"/>
      <c r="BW12" s="909"/>
      <c r="BX12" s="909"/>
      <c r="BY12" s="909"/>
      <c r="BZ12" s="909"/>
      <c r="CA12" s="890" t="s">
        <v>67</v>
      </c>
      <c r="CB12" s="892"/>
      <c r="CC12" s="892"/>
      <c r="CD12" s="890" t="s">
        <v>68</v>
      </c>
      <c r="CE12" s="870"/>
      <c r="CF12" s="893" t="s">
        <v>69</v>
      </c>
    </row>
    <row r="13" spans="1:84" ht="29.4" thickBot="1" x14ac:dyDescent="0.35">
      <c r="A13" s="920"/>
      <c r="B13" s="921"/>
      <c r="C13" s="921"/>
      <c r="D13" s="921"/>
      <c r="E13" s="921"/>
      <c r="F13" s="921"/>
      <c r="G13" s="921"/>
      <c r="H13" s="922"/>
      <c r="I13" s="945"/>
      <c r="J13" s="945"/>
      <c r="K13" s="945"/>
      <c r="L13" s="945"/>
      <c r="M13" s="945"/>
      <c r="N13" s="945"/>
      <c r="O13" s="945"/>
      <c r="P13" s="946"/>
      <c r="Q13" s="936"/>
      <c r="R13" s="937"/>
      <c r="S13" s="915" t="s">
        <v>461</v>
      </c>
      <c r="T13" s="916"/>
      <c r="U13" s="913" t="s">
        <v>462</v>
      </c>
      <c r="V13" s="916"/>
      <c r="W13" s="913" t="s">
        <v>463</v>
      </c>
      <c r="X13" s="914"/>
      <c r="Y13" s="913" t="s">
        <v>464</v>
      </c>
      <c r="Z13" s="914"/>
      <c r="AA13" s="915" t="s">
        <v>70</v>
      </c>
      <c r="AB13" s="916"/>
      <c r="AC13" s="913" t="s">
        <v>71</v>
      </c>
      <c r="AD13" s="916"/>
      <c r="AE13" s="913" t="s">
        <v>72</v>
      </c>
      <c r="AF13" s="914"/>
      <c r="AG13" s="953" t="s">
        <v>73</v>
      </c>
      <c r="AH13" s="892"/>
      <c r="AI13" s="149" t="s">
        <v>74</v>
      </c>
      <c r="AJ13" s="915" t="s">
        <v>70</v>
      </c>
      <c r="AK13" s="916"/>
      <c r="AL13" s="913" t="s">
        <v>71</v>
      </c>
      <c r="AM13" s="916"/>
      <c r="AN13" s="913" t="s">
        <v>72</v>
      </c>
      <c r="AO13" s="914"/>
      <c r="AP13" s="953" t="s">
        <v>73</v>
      </c>
      <c r="AQ13" s="892"/>
      <c r="AR13" s="929"/>
      <c r="AS13" s="930"/>
      <c r="AT13" s="930"/>
      <c r="AU13" s="930"/>
      <c r="AV13" s="930"/>
      <c r="AW13" s="930"/>
      <c r="AX13" s="930"/>
      <c r="AY13" s="931"/>
      <c r="AZ13" s="906"/>
      <c r="BA13" s="907"/>
      <c r="BB13" s="907"/>
      <c r="BC13" s="907"/>
      <c r="BD13" s="907"/>
      <c r="BE13" s="907"/>
      <c r="BF13" s="907"/>
      <c r="BG13" s="907"/>
      <c r="BH13" s="907"/>
      <c r="BI13" s="907"/>
      <c r="BJ13" s="907"/>
      <c r="BK13" s="908"/>
      <c r="BL13" s="898"/>
      <c r="BM13" s="899"/>
      <c r="BN13" s="898"/>
      <c r="BO13" s="899"/>
      <c r="BP13" s="900"/>
      <c r="BQ13" s="898"/>
      <c r="BR13" s="900"/>
      <c r="BS13" s="895" t="s">
        <v>75</v>
      </c>
      <c r="BT13" s="896"/>
      <c r="BU13" s="896"/>
      <c r="BV13" s="896"/>
      <c r="BW13" s="896"/>
      <c r="BX13" s="896"/>
      <c r="BY13" s="896"/>
      <c r="BZ13" s="896"/>
      <c r="CA13" s="541" t="s">
        <v>76</v>
      </c>
      <c r="CB13" s="890" t="s">
        <v>77</v>
      </c>
      <c r="CC13" s="891"/>
      <c r="CD13" s="890" t="s">
        <v>78</v>
      </c>
      <c r="CE13" s="891"/>
      <c r="CF13" s="894"/>
    </row>
    <row r="14" spans="1:84" ht="72.599999999999994" thickBot="1" x14ac:dyDescent="0.35">
      <c r="A14" s="343" t="s">
        <v>2</v>
      </c>
      <c r="B14" s="344" t="s">
        <v>12</v>
      </c>
      <c r="C14" s="344" t="s">
        <v>13</v>
      </c>
      <c r="D14" s="102" t="s">
        <v>14</v>
      </c>
      <c r="E14" s="102" t="s">
        <v>15</v>
      </c>
      <c r="F14" s="102" t="s">
        <v>16</v>
      </c>
      <c r="G14" s="102" t="s">
        <v>17</v>
      </c>
      <c r="H14" s="348" t="s">
        <v>18</v>
      </c>
      <c r="I14" s="243" t="s">
        <v>79</v>
      </c>
      <c r="J14" s="244" t="s">
        <v>80</v>
      </c>
      <c r="K14" s="244" t="s">
        <v>81</v>
      </c>
      <c r="L14" s="244" t="s">
        <v>82</v>
      </c>
      <c r="M14" s="244" t="s">
        <v>83</v>
      </c>
      <c r="N14" s="244" t="s">
        <v>84</v>
      </c>
      <c r="O14" s="244" t="s">
        <v>85</v>
      </c>
      <c r="P14" s="244" t="s">
        <v>86</v>
      </c>
      <c r="Q14" s="245" t="s">
        <v>87</v>
      </c>
      <c r="R14" s="246" t="s">
        <v>88</v>
      </c>
      <c r="S14" s="219" t="s">
        <v>89</v>
      </c>
      <c r="T14" s="546" t="s">
        <v>90</v>
      </c>
      <c r="U14" s="546" t="s">
        <v>91</v>
      </c>
      <c r="V14" s="546" t="s">
        <v>92</v>
      </c>
      <c r="W14" s="546" t="s">
        <v>89</v>
      </c>
      <c r="X14" s="546" t="s">
        <v>92</v>
      </c>
      <c r="Y14" s="546" t="s">
        <v>93</v>
      </c>
      <c r="Z14" s="220" t="s">
        <v>94</v>
      </c>
      <c r="AA14" s="219" t="s">
        <v>95</v>
      </c>
      <c r="AB14" s="546" t="s">
        <v>96</v>
      </c>
      <c r="AC14" s="546" t="s">
        <v>95</v>
      </c>
      <c r="AD14" s="546" t="s">
        <v>97</v>
      </c>
      <c r="AE14" s="546" t="s">
        <v>95</v>
      </c>
      <c r="AF14" s="546" t="s">
        <v>97</v>
      </c>
      <c r="AG14" s="546" t="s">
        <v>98</v>
      </c>
      <c r="AH14" s="546" t="s">
        <v>99</v>
      </c>
      <c r="AI14" s="220" t="s">
        <v>100</v>
      </c>
      <c r="AJ14" s="219" t="s">
        <v>101</v>
      </c>
      <c r="AK14" s="546" t="s">
        <v>102</v>
      </c>
      <c r="AL14" s="546" t="s">
        <v>101</v>
      </c>
      <c r="AM14" s="546" t="s">
        <v>102</v>
      </c>
      <c r="AN14" s="546" t="s">
        <v>103</v>
      </c>
      <c r="AO14" s="546" t="s">
        <v>104</v>
      </c>
      <c r="AP14" s="546" t="s">
        <v>105</v>
      </c>
      <c r="AQ14" s="220" t="s">
        <v>106</v>
      </c>
      <c r="AR14" s="222" t="s">
        <v>107</v>
      </c>
      <c r="AS14" s="223" t="s">
        <v>108</v>
      </c>
      <c r="AT14" s="223" t="s">
        <v>109</v>
      </c>
      <c r="AU14" s="223" t="s">
        <v>110</v>
      </c>
      <c r="AV14" s="223" t="s">
        <v>111</v>
      </c>
      <c r="AW14" s="223" t="s">
        <v>112</v>
      </c>
      <c r="AX14" s="224" t="s">
        <v>113</v>
      </c>
      <c r="AY14" s="225" t="s">
        <v>114</v>
      </c>
      <c r="AZ14" s="76" t="s">
        <v>115</v>
      </c>
      <c r="BA14" s="76" t="s">
        <v>116</v>
      </c>
      <c r="BB14" s="76" t="s">
        <v>117</v>
      </c>
      <c r="BC14" s="76" t="s">
        <v>118</v>
      </c>
      <c r="BD14" s="77" t="s">
        <v>119</v>
      </c>
      <c r="BE14" s="76" t="s">
        <v>120</v>
      </c>
      <c r="BF14" s="76" t="s">
        <v>121</v>
      </c>
      <c r="BG14" s="76" t="s">
        <v>122</v>
      </c>
      <c r="BH14" s="76" t="s">
        <v>123</v>
      </c>
      <c r="BI14" s="549" t="s">
        <v>124</v>
      </c>
      <c r="BJ14" s="77" t="s">
        <v>125</v>
      </c>
      <c r="BK14" s="549" t="s">
        <v>126</v>
      </c>
      <c r="BL14" s="90" t="s">
        <v>127</v>
      </c>
      <c r="BM14" s="542" t="s">
        <v>128</v>
      </c>
      <c r="BN14" s="541" t="s">
        <v>129</v>
      </c>
      <c r="BO14" s="88" t="s">
        <v>130</v>
      </c>
      <c r="BP14" s="542" t="s">
        <v>131</v>
      </c>
      <c r="BQ14" s="90" t="s">
        <v>132</v>
      </c>
      <c r="BR14" s="542" t="s">
        <v>133</v>
      </c>
      <c r="BS14" s="541" t="s">
        <v>134</v>
      </c>
      <c r="BT14" s="88" t="s">
        <v>135</v>
      </c>
      <c r="BU14" s="543" t="s">
        <v>136</v>
      </c>
      <c r="BV14" s="232" t="s">
        <v>137</v>
      </c>
      <c r="BW14" s="541" t="s">
        <v>138</v>
      </c>
      <c r="BX14" s="88" t="s">
        <v>139</v>
      </c>
      <c r="BY14" s="543" t="s">
        <v>140</v>
      </c>
      <c r="BZ14" s="89" t="s">
        <v>141</v>
      </c>
      <c r="CA14" s="544" t="s">
        <v>142</v>
      </c>
      <c r="CB14" s="233" t="s">
        <v>143</v>
      </c>
      <c r="CC14" s="545" t="s">
        <v>144</v>
      </c>
      <c r="CD14" s="90" t="s">
        <v>145</v>
      </c>
      <c r="CE14" s="542" t="s">
        <v>146</v>
      </c>
      <c r="CF14" s="542" t="s">
        <v>147</v>
      </c>
    </row>
    <row r="15" spans="1:84" ht="30" customHeight="1" thickBot="1" x14ac:dyDescent="0.35">
      <c r="A15" s="60" t="str">
        <f t="shared" ref="A15:A70" si="0">$E$1</f>
        <v>Unitil</v>
      </c>
      <c r="B15" s="66" t="s">
        <v>383</v>
      </c>
      <c r="C15" s="66" t="s">
        <v>383</v>
      </c>
      <c r="D15" s="58" t="s">
        <v>384</v>
      </c>
      <c r="E15" s="58" t="s">
        <v>385</v>
      </c>
      <c r="F15" s="58" t="s">
        <v>386</v>
      </c>
      <c r="G15" s="58" t="s">
        <v>385</v>
      </c>
      <c r="H15" s="10" t="s">
        <v>387</v>
      </c>
      <c r="I15" s="242" t="s">
        <v>453</v>
      </c>
      <c r="J15" s="104" t="s">
        <v>454</v>
      </c>
      <c r="K15" s="523"/>
      <c r="L15" s="523"/>
      <c r="M15" s="58"/>
      <c r="N15" s="559"/>
      <c r="O15" s="514"/>
      <c r="P15" s="524"/>
      <c r="Q15" s="560"/>
      <c r="R15" s="525"/>
      <c r="S15" s="18"/>
      <c r="T15" s="16"/>
      <c r="U15" s="128"/>
      <c r="V15" s="16"/>
      <c r="W15" s="128"/>
      <c r="X15" s="16"/>
      <c r="Y15" s="128"/>
      <c r="Z15" s="10"/>
      <c r="AA15" s="561"/>
      <c r="AB15" s="562"/>
      <c r="AC15" s="563"/>
      <c r="AD15" s="562"/>
      <c r="AE15" s="563"/>
      <c r="AF15" s="562"/>
      <c r="AG15" s="563"/>
      <c r="AH15" s="562"/>
      <c r="AI15" s="564"/>
      <c r="AJ15" s="565"/>
      <c r="AK15" s="566"/>
      <c r="AL15" s="565"/>
      <c r="AM15" s="565"/>
      <c r="AN15" s="565"/>
      <c r="AO15" s="565"/>
      <c r="AP15" s="565"/>
      <c r="AQ15" s="565"/>
      <c r="AR15" s="226"/>
      <c r="AS15" s="227"/>
      <c r="AT15" s="227"/>
      <c r="AU15" s="227"/>
      <c r="AV15" s="227"/>
      <c r="AW15" s="227"/>
      <c r="AX15" s="227"/>
      <c r="AY15" s="228"/>
      <c r="AZ15" s="96"/>
      <c r="BA15" s="9"/>
      <c r="BB15" s="9"/>
      <c r="BC15" s="126"/>
      <c r="BD15" s="126"/>
      <c r="BE15" s="126"/>
      <c r="BF15" s="129"/>
      <c r="BG15" s="129"/>
      <c r="BH15" s="129"/>
      <c r="BI15" s="129"/>
      <c r="BJ15" s="126"/>
      <c r="BK15" s="125"/>
      <c r="BL15" s="21"/>
      <c r="BM15" s="127"/>
      <c r="BN15" s="511"/>
      <c r="BO15" s="512"/>
      <c r="BP15" s="513"/>
      <c r="BQ15" s="107"/>
      <c r="BR15" s="108"/>
      <c r="BS15" s="488"/>
      <c r="BT15" s="489"/>
      <c r="BU15" s="490"/>
      <c r="BV15" s="491"/>
      <c r="BW15" s="488"/>
      <c r="BX15" s="490"/>
      <c r="BY15" s="490"/>
      <c r="BZ15" s="491"/>
      <c r="CA15" s="237"/>
      <c r="CB15" s="234"/>
      <c r="CC15" s="235"/>
      <c r="CD15" s="94"/>
      <c r="CE15" s="95"/>
      <c r="CF15" s="52"/>
    </row>
    <row r="16" spans="1:84" ht="30" customHeight="1" thickBot="1" x14ac:dyDescent="0.35">
      <c r="A16" s="60" t="str">
        <f t="shared" si="0"/>
        <v>Unitil</v>
      </c>
      <c r="B16" s="66" t="s">
        <v>383</v>
      </c>
      <c r="C16" s="66" t="s">
        <v>383</v>
      </c>
      <c r="D16" s="58" t="s">
        <v>384</v>
      </c>
      <c r="E16" s="58" t="s">
        <v>385</v>
      </c>
      <c r="F16" s="58" t="s">
        <v>388</v>
      </c>
      <c r="G16" s="58" t="s">
        <v>385</v>
      </c>
      <c r="H16" s="10" t="s">
        <v>387</v>
      </c>
      <c r="I16" s="14" t="s">
        <v>453</v>
      </c>
      <c r="J16" s="128" t="s">
        <v>454</v>
      </c>
      <c r="K16" s="526"/>
      <c r="L16" s="526"/>
      <c r="M16" s="58"/>
      <c r="N16" s="559"/>
      <c r="O16" s="527"/>
      <c r="P16" s="524"/>
      <c r="Q16" s="560"/>
      <c r="R16" s="528"/>
      <c r="S16" s="18"/>
      <c r="T16" s="16"/>
      <c r="U16" s="128"/>
      <c r="V16" s="16"/>
      <c r="W16" s="128"/>
      <c r="X16" s="16"/>
      <c r="Y16" s="128"/>
      <c r="Z16" s="10"/>
      <c r="AA16" s="561"/>
      <c r="AB16" s="562"/>
      <c r="AC16" s="563"/>
      <c r="AD16" s="562"/>
      <c r="AE16" s="563"/>
      <c r="AF16" s="562"/>
      <c r="AG16" s="563"/>
      <c r="AH16" s="562"/>
      <c r="AI16" s="564"/>
      <c r="AJ16" s="565"/>
      <c r="AK16" s="566"/>
      <c r="AL16" s="565"/>
      <c r="AM16" s="565"/>
      <c r="AN16" s="565"/>
      <c r="AO16" s="565"/>
      <c r="AP16" s="565"/>
      <c r="AQ16" s="565"/>
      <c r="AR16" s="492"/>
      <c r="AS16" s="493"/>
      <c r="AT16" s="493"/>
      <c r="AU16" s="493"/>
      <c r="AV16" s="493"/>
      <c r="AW16" s="493"/>
      <c r="AX16" s="493"/>
      <c r="AY16" s="494"/>
      <c r="AZ16" s="96"/>
      <c r="BA16" s="9"/>
      <c r="BB16" s="9"/>
      <c r="BC16" s="126"/>
      <c r="BD16" s="126"/>
      <c r="BE16" s="126"/>
      <c r="BF16" s="129"/>
      <c r="BG16" s="129"/>
      <c r="BH16" s="129"/>
      <c r="BI16" s="129"/>
      <c r="BJ16" s="126"/>
      <c r="BK16" s="125"/>
      <c r="BL16" s="21"/>
      <c r="BM16" s="127"/>
      <c r="BN16" s="511"/>
      <c r="BO16" s="514"/>
      <c r="BP16" s="513"/>
      <c r="BQ16" s="107"/>
      <c r="BR16" s="108"/>
      <c r="BS16" s="488"/>
      <c r="BT16" s="489"/>
      <c r="BU16" s="490"/>
      <c r="BV16" s="491"/>
      <c r="BW16" s="488"/>
      <c r="BX16" s="490"/>
      <c r="BY16" s="490"/>
      <c r="BZ16" s="491"/>
      <c r="CA16" s="257"/>
      <c r="CB16" s="94"/>
      <c r="CC16" s="495"/>
      <c r="CD16" s="94"/>
      <c r="CE16" s="95"/>
      <c r="CF16" s="52"/>
    </row>
    <row r="17" spans="1:84" ht="30" customHeight="1" thickBot="1" x14ac:dyDescent="0.35">
      <c r="A17" s="60" t="str">
        <f t="shared" si="0"/>
        <v>Unitil</v>
      </c>
      <c r="B17" s="66" t="s">
        <v>383</v>
      </c>
      <c r="C17" s="66" t="s">
        <v>383</v>
      </c>
      <c r="D17" s="58" t="s">
        <v>384</v>
      </c>
      <c r="E17" s="58" t="s">
        <v>385</v>
      </c>
      <c r="F17" s="58" t="s">
        <v>389</v>
      </c>
      <c r="G17" s="58" t="s">
        <v>385</v>
      </c>
      <c r="H17" s="10" t="s">
        <v>387</v>
      </c>
      <c r="I17" s="14" t="s">
        <v>453</v>
      </c>
      <c r="J17" s="128" t="s">
        <v>454</v>
      </c>
      <c r="K17" s="526"/>
      <c r="L17" s="526"/>
      <c r="M17" s="58"/>
      <c r="N17" s="559"/>
      <c r="O17" s="527"/>
      <c r="P17" s="524"/>
      <c r="Q17" s="560"/>
      <c r="R17" s="528"/>
      <c r="S17" s="18"/>
      <c r="T17" s="16"/>
      <c r="U17" s="128"/>
      <c r="V17" s="16"/>
      <c r="W17" s="128"/>
      <c r="X17" s="16"/>
      <c r="Y17" s="128"/>
      <c r="Z17" s="10"/>
      <c r="AA17" s="561"/>
      <c r="AB17" s="562"/>
      <c r="AC17" s="563"/>
      <c r="AD17" s="562"/>
      <c r="AE17" s="563"/>
      <c r="AF17" s="562"/>
      <c r="AG17" s="563"/>
      <c r="AH17" s="562"/>
      <c r="AI17" s="564"/>
      <c r="AJ17" s="565"/>
      <c r="AK17" s="566"/>
      <c r="AL17" s="565"/>
      <c r="AM17" s="565"/>
      <c r="AN17" s="565"/>
      <c r="AO17" s="565"/>
      <c r="AP17" s="565"/>
      <c r="AQ17" s="565"/>
      <c r="AR17" s="492"/>
      <c r="AS17" s="493"/>
      <c r="AT17" s="493"/>
      <c r="AU17" s="493"/>
      <c r="AV17" s="493"/>
      <c r="AW17" s="493"/>
      <c r="AX17" s="493"/>
      <c r="AY17" s="494"/>
      <c r="AZ17" s="96"/>
      <c r="BA17" s="9"/>
      <c r="BB17" s="9"/>
      <c r="BC17" s="126"/>
      <c r="BD17" s="126"/>
      <c r="BE17" s="126"/>
      <c r="BF17" s="129"/>
      <c r="BG17" s="129"/>
      <c r="BH17" s="129"/>
      <c r="BI17" s="129"/>
      <c r="BJ17" s="126"/>
      <c r="BK17" s="125"/>
      <c r="BL17" s="21"/>
      <c r="BM17" s="127"/>
      <c r="BN17" s="511"/>
      <c r="BO17" s="514"/>
      <c r="BP17" s="513"/>
      <c r="BQ17" s="107"/>
      <c r="BR17" s="108"/>
      <c r="BS17" s="488"/>
      <c r="BT17" s="489"/>
      <c r="BU17" s="490"/>
      <c r="BV17" s="491"/>
      <c r="BW17" s="488"/>
      <c r="BX17" s="490"/>
      <c r="BY17" s="490"/>
      <c r="BZ17" s="491"/>
      <c r="CA17" s="257"/>
      <c r="CB17" s="94"/>
      <c r="CC17" s="495"/>
      <c r="CD17" s="94"/>
      <c r="CE17" s="95"/>
      <c r="CF17" s="52"/>
    </row>
    <row r="18" spans="1:84" ht="30" customHeight="1" x14ac:dyDescent="0.3">
      <c r="A18" s="60" t="str">
        <f t="shared" si="0"/>
        <v>Unitil</v>
      </c>
      <c r="B18" s="66" t="s">
        <v>383</v>
      </c>
      <c r="C18" s="66" t="s">
        <v>383</v>
      </c>
      <c r="D18" s="58" t="s">
        <v>384</v>
      </c>
      <c r="E18" s="58" t="s">
        <v>385</v>
      </c>
      <c r="F18" s="58" t="s">
        <v>390</v>
      </c>
      <c r="G18" s="58" t="s">
        <v>385</v>
      </c>
      <c r="H18" s="10" t="s">
        <v>387</v>
      </c>
      <c r="I18" s="14" t="s">
        <v>453</v>
      </c>
      <c r="J18" s="128" t="s">
        <v>454</v>
      </c>
      <c r="K18" s="526"/>
      <c r="L18" s="526"/>
      <c r="M18" s="58"/>
      <c r="N18" s="559"/>
      <c r="O18" s="527"/>
      <c r="P18" s="524"/>
      <c r="Q18" s="560"/>
      <c r="R18" s="528"/>
      <c r="S18" s="18"/>
      <c r="T18" s="16"/>
      <c r="U18" s="128"/>
      <c r="V18" s="16"/>
      <c r="W18" s="128"/>
      <c r="X18" s="16"/>
      <c r="Y18" s="128"/>
      <c r="Z18" s="10"/>
      <c r="AA18" s="561"/>
      <c r="AB18" s="562"/>
      <c r="AC18" s="563"/>
      <c r="AD18" s="562"/>
      <c r="AE18" s="563"/>
      <c r="AF18" s="562"/>
      <c r="AG18" s="563"/>
      <c r="AH18" s="562"/>
      <c r="AI18" s="564"/>
      <c r="AJ18" s="565"/>
      <c r="AK18" s="566"/>
      <c r="AL18" s="565"/>
      <c r="AM18" s="565"/>
      <c r="AN18" s="565"/>
      <c r="AO18" s="565"/>
      <c r="AP18" s="565"/>
      <c r="AQ18" s="565"/>
      <c r="AR18" s="492"/>
      <c r="AS18" s="493"/>
      <c r="AT18" s="493"/>
      <c r="AU18" s="493"/>
      <c r="AV18" s="493"/>
      <c r="AW18" s="493"/>
      <c r="AX18" s="493"/>
      <c r="AY18" s="494"/>
      <c r="AZ18" s="96"/>
      <c r="BA18" s="9"/>
      <c r="BB18" s="9"/>
      <c r="BC18" s="126"/>
      <c r="BD18" s="126"/>
      <c r="BE18" s="126"/>
      <c r="BF18" s="129"/>
      <c r="BG18" s="129"/>
      <c r="BH18" s="129"/>
      <c r="BI18" s="129"/>
      <c r="BJ18" s="126"/>
      <c r="BK18" s="125"/>
      <c r="BL18" s="21"/>
      <c r="BM18" s="127"/>
      <c r="BN18" s="511"/>
      <c r="BO18" s="514"/>
      <c r="BP18" s="513"/>
      <c r="BQ18" s="107"/>
      <c r="BR18" s="108"/>
      <c r="BS18" s="488"/>
      <c r="BT18" s="489"/>
      <c r="BU18" s="490"/>
      <c r="BV18" s="491"/>
      <c r="BW18" s="488"/>
      <c r="BX18" s="490"/>
      <c r="BY18" s="490"/>
      <c r="BZ18" s="491"/>
      <c r="CA18" s="257"/>
      <c r="CB18" s="94"/>
      <c r="CC18" s="495"/>
      <c r="CD18" s="94"/>
      <c r="CE18" s="95"/>
      <c r="CF18" s="52"/>
    </row>
    <row r="19" spans="1:84" ht="30" customHeight="1" thickBot="1" x14ac:dyDescent="0.35">
      <c r="A19" s="60" t="str">
        <f>$E$1</f>
        <v>Unitil</v>
      </c>
      <c r="B19" s="66" t="s">
        <v>383</v>
      </c>
      <c r="C19" s="66" t="s">
        <v>383</v>
      </c>
      <c r="D19" s="58" t="s">
        <v>384</v>
      </c>
      <c r="E19" s="58" t="s">
        <v>385</v>
      </c>
      <c r="F19" s="496"/>
      <c r="G19" s="496"/>
      <c r="H19" s="497"/>
      <c r="I19" s="529"/>
      <c r="J19" s="496"/>
      <c r="K19" s="496"/>
      <c r="L19" s="496"/>
      <c r="M19" s="496"/>
      <c r="N19" s="567"/>
      <c r="O19" s="530"/>
      <c r="P19" s="568"/>
      <c r="Q19" s="510"/>
      <c r="R19" s="531"/>
      <c r="S19" s="569"/>
      <c r="T19" s="569"/>
      <c r="U19" s="569"/>
      <c r="V19" s="569"/>
      <c r="W19" s="569"/>
      <c r="X19" s="569"/>
      <c r="Y19" s="569"/>
      <c r="Z19" s="569"/>
      <c r="AA19" s="569"/>
      <c r="AB19" s="569"/>
      <c r="AC19" s="569"/>
      <c r="AD19" s="569"/>
      <c r="AE19" s="569"/>
      <c r="AF19" s="569"/>
      <c r="AG19" s="569"/>
      <c r="AH19" s="569"/>
      <c r="AI19" s="569"/>
      <c r="AJ19" s="569"/>
      <c r="AK19" s="497"/>
      <c r="AL19" s="569"/>
      <c r="AM19" s="497"/>
      <c r="AN19" s="569"/>
      <c r="AO19" s="497"/>
      <c r="AP19" s="569"/>
      <c r="AQ19" s="497"/>
      <c r="AR19" s="492"/>
      <c r="AS19" s="493"/>
      <c r="AT19" s="493"/>
      <c r="AU19" s="493"/>
      <c r="AV19" s="493"/>
      <c r="AW19" s="493"/>
      <c r="AX19" s="493"/>
      <c r="AY19" s="494"/>
      <c r="AZ19" s="96"/>
      <c r="BA19" s="9"/>
      <c r="BB19" s="9"/>
      <c r="BC19" s="126"/>
      <c r="BD19" s="126"/>
      <c r="BE19" s="126"/>
      <c r="BF19" s="129"/>
      <c r="BG19" s="129"/>
      <c r="BH19" s="129"/>
      <c r="BI19" s="129"/>
      <c r="BJ19" s="126"/>
      <c r="BK19" s="125"/>
      <c r="BL19" s="21"/>
      <c r="BM19" s="127"/>
      <c r="BN19" s="515"/>
      <c r="BO19" s="516"/>
      <c r="BP19" s="517"/>
      <c r="BQ19" s="107"/>
      <c r="BR19" s="108"/>
      <c r="BS19" s="488"/>
      <c r="BT19" s="489"/>
      <c r="BU19" s="490"/>
      <c r="BV19" s="491"/>
      <c r="BW19" s="488"/>
      <c r="BX19" s="490"/>
      <c r="BY19" s="490"/>
      <c r="BZ19" s="491"/>
      <c r="CA19" s="257"/>
      <c r="CB19" s="94"/>
      <c r="CC19" s="495"/>
      <c r="CD19" s="94"/>
      <c r="CE19" s="95"/>
      <c r="CF19" s="52"/>
    </row>
    <row r="20" spans="1:84" ht="30" customHeight="1" thickBot="1" x14ac:dyDescent="0.35">
      <c r="A20" s="60" t="str">
        <f t="shared" si="0"/>
        <v>Unitil</v>
      </c>
      <c r="B20" s="66" t="s">
        <v>383</v>
      </c>
      <c r="C20" s="66" t="s">
        <v>383</v>
      </c>
      <c r="D20" s="58" t="s">
        <v>391</v>
      </c>
      <c r="E20" s="58" t="s">
        <v>385</v>
      </c>
      <c r="F20" s="58" t="s">
        <v>392</v>
      </c>
      <c r="G20" s="58" t="s">
        <v>385</v>
      </c>
      <c r="H20" s="10" t="s">
        <v>387</v>
      </c>
      <c r="I20" s="14" t="s">
        <v>453</v>
      </c>
      <c r="J20" s="128" t="s">
        <v>457</v>
      </c>
      <c r="K20" s="526"/>
      <c r="L20" s="526"/>
      <c r="M20" s="58"/>
      <c r="N20" s="559"/>
      <c r="O20" s="527"/>
      <c r="P20" s="524"/>
      <c r="Q20" s="560"/>
      <c r="R20" s="528"/>
      <c r="S20" s="18"/>
      <c r="T20" s="16"/>
      <c r="U20" s="128"/>
      <c r="V20" s="16"/>
      <c r="W20" s="128"/>
      <c r="X20" s="16"/>
      <c r="Y20" s="128"/>
      <c r="Z20" s="10"/>
      <c r="AA20" s="561"/>
      <c r="AB20" s="562"/>
      <c r="AC20" s="563"/>
      <c r="AD20" s="562"/>
      <c r="AE20" s="563"/>
      <c r="AF20" s="562"/>
      <c r="AG20" s="563"/>
      <c r="AH20" s="562"/>
      <c r="AI20" s="564"/>
      <c r="AJ20" s="565"/>
      <c r="AK20" s="566"/>
      <c r="AL20" s="565"/>
      <c r="AM20" s="565"/>
      <c r="AN20" s="565"/>
      <c r="AO20" s="565"/>
      <c r="AP20" s="565"/>
      <c r="AQ20" s="565"/>
      <c r="AR20" s="492"/>
      <c r="AS20" s="493"/>
      <c r="AT20" s="493"/>
      <c r="AU20" s="493"/>
      <c r="AV20" s="493"/>
      <c r="AW20" s="493"/>
      <c r="AX20" s="493"/>
      <c r="AY20" s="494"/>
      <c r="AZ20" s="96"/>
      <c r="BA20" s="9"/>
      <c r="BB20" s="9"/>
      <c r="BC20" s="126"/>
      <c r="BD20" s="126"/>
      <c r="BE20" s="126"/>
      <c r="BF20" s="129"/>
      <c r="BG20" s="129"/>
      <c r="BH20" s="129"/>
      <c r="BI20" s="129"/>
      <c r="BJ20" s="126"/>
      <c r="BK20" s="125"/>
      <c r="BL20" s="21"/>
      <c r="BM20" s="127"/>
      <c r="BN20" s="511"/>
      <c r="BO20" s="514"/>
      <c r="BP20" s="513"/>
      <c r="BQ20" s="107"/>
      <c r="BR20" s="108"/>
      <c r="BS20" s="488"/>
      <c r="BT20" s="489"/>
      <c r="BU20" s="490"/>
      <c r="BV20" s="491"/>
      <c r="BW20" s="488"/>
      <c r="BX20" s="490"/>
      <c r="BY20" s="490"/>
      <c r="BZ20" s="491"/>
      <c r="CA20" s="257"/>
      <c r="CB20" s="94"/>
      <c r="CC20" s="495"/>
      <c r="CD20" s="94"/>
      <c r="CE20" s="95"/>
      <c r="CF20" s="52"/>
    </row>
    <row r="21" spans="1:84" ht="30" customHeight="1" thickBot="1" x14ac:dyDescent="0.35">
      <c r="A21" s="60" t="str">
        <f t="shared" si="0"/>
        <v>Unitil</v>
      </c>
      <c r="B21" s="66" t="s">
        <v>383</v>
      </c>
      <c r="C21" s="66" t="s">
        <v>383</v>
      </c>
      <c r="D21" s="58" t="s">
        <v>391</v>
      </c>
      <c r="E21" s="58" t="s">
        <v>385</v>
      </c>
      <c r="F21" s="58" t="s">
        <v>393</v>
      </c>
      <c r="G21" s="58" t="s">
        <v>385</v>
      </c>
      <c r="H21" s="10" t="s">
        <v>387</v>
      </c>
      <c r="I21" s="14" t="s">
        <v>453</v>
      </c>
      <c r="J21" s="128" t="s">
        <v>457</v>
      </c>
      <c r="K21" s="526"/>
      <c r="L21" s="526"/>
      <c r="M21" s="58"/>
      <c r="N21" s="559"/>
      <c r="O21" s="527"/>
      <c r="P21" s="524"/>
      <c r="Q21" s="560"/>
      <c r="R21" s="528"/>
      <c r="S21" s="18"/>
      <c r="T21" s="16"/>
      <c r="U21" s="128"/>
      <c r="V21" s="16"/>
      <c r="W21" s="128"/>
      <c r="X21" s="16"/>
      <c r="Y21" s="128"/>
      <c r="Z21" s="10"/>
      <c r="AA21" s="561"/>
      <c r="AB21" s="562"/>
      <c r="AC21" s="563"/>
      <c r="AD21" s="562"/>
      <c r="AE21" s="563"/>
      <c r="AF21" s="562"/>
      <c r="AG21" s="563"/>
      <c r="AH21" s="562"/>
      <c r="AI21" s="564"/>
      <c r="AJ21" s="565"/>
      <c r="AK21" s="566"/>
      <c r="AL21" s="565"/>
      <c r="AM21" s="565"/>
      <c r="AN21" s="565"/>
      <c r="AO21" s="565"/>
      <c r="AP21" s="565"/>
      <c r="AQ21" s="565"/>
      <c r="AR21" s="492"/>
      <c r="AS21" s="493"/>
      <c r="AT21" s="493"/>
      <c r="AU21" s="493"/>
      <c r="AV21" s="493"/>
      <c r="AW21" s="493"/>
      <c r="AX21" s="493"/>
      <c r="AY21" s="494"/>
      <c r="AZ21" s="96"/>
      <c r="BA21" s="9"/>
      <c r="BB21" s="9"/>
      <c r="BC21" s="126"/>
      <c r="BD21" s="126"/>
      <c r="BE21" s="126"/>
      <c r="BF21" s="129"/>
      <c r="BG21" s="129"/>
      <c r="BH21" s="129"/>
      <c r="BI21" s="129"/>
      <c r="BJ21" s="126"/>
      <c r="BK21" s="125"/>
      <c r="BL21" s="21"/>
      <c r="BM21" s="127"/>
      <c r="BN21" s="511"/>
      <c r="BO21" s="514"/>
      <c r="BP21" s="513"/>
      <c r="BQ21" s="107"/>
      <c r="BR21" s="108"/>
      <c r="BS21" s="488"/>
      <c r="BT21" s="489"/>
      <c r="BU21" s="490"/>
      <c r="BV21" s="491"/>
      <c r="BW21" s="488"/>
      <c r="BX21" s="490"/>
      <c r="BY21" s="490"/>
      <c r="BZ21" s="491"/>
      <c r="CA21" s="257"/>
      <c r="CB21" s="94"/>
      <c r="CC21" s="495"/>
      <c r="CD21" s="94"/>
      <c r="CE21" s="95"/>
      <c r="CF21" s="52"/>
    </row>
    <row r="22" spans="1:84" ht="30" customHeight="1" x14ac:dyDescent="0.3">
      <c r="A22" s="60" t="str">
        <f t="shared" si="0"/>
        <v>Unitil</v>
      </c>
      <c r="B22" s="66" t="s">
        <v>383</v>
      </c>
      <c r="C22" s="66" t="s">
        <v>383</v>
      </c>
      <c r="D22" s="58" t="s">
        <v>391</v>
      </c>
      <c r="E22" s="58" t="s">
        <v>385</v>
      </c>
      <c r="F22" s="58" t="s">
        <v>394</v>
      </c>
      <c r="G22" s="58" t="s">
        <v>385</v>
      </c>
      <c r="H22" s="10" t="s">
        <v>387</v>
      </c>
      <c r="I22" s="14" t="s">
        <v>453</v>
      </c>
      <c r="J22" s="128" t="s">
        <v>454</v>
      </c>
      <c r="K22" s="526"/>
      <c r="L22" s="526"/>
      <c r="M22" s="58"/>
      <c r="N22" s="559"/>
      <c r="O22" s="527"/>
      <c r="P22" s="524"/>
      <c r="Q22" s="560"/>
      <c r="R22" s="528"/>
      <c r="S22" s="18"/>
      <c r="T22" s="16"/>
      <c r="U22" s="128"/>
      <c r="V22" s="16"/>
      <c r="W22" s="128"/>
      <c r="X22" s="16"/>
      <c r="Y22" s="128"/>
      <c r="Z22" s="10"/>
      <c r="AA22" s="561"/>
      <c r="AB22" s="562"/>
      <c r="AC22" s="563"/>
      <c r="AD22" s="562"/>
      <c r="AE22" s="563"/>
      <c r="AF22" s="562"/>
      <c r="AG22" s="563"/>
      <c r="AH22" s="562"/>
      <c r="AI22" s="564"/>
      <c r="AJ22" s="565"/>
      <c r="AK22" s="566"/>
      <c r="AL22" s="565"/>
      <c r="AM22" s="565"/>
      <c r="AN22" s="565"/>
      <c r="AO22" s="565"/>
      <c r="AP22" s="565"/>
      <c r="AQ22" s="565"/>
      <c r="AR22" s="492"/>
      <c r="AS22" s="493"/>
      <c r="AT22" s="493"/>
      <c r="AU22" s="493"/>
      <c r="AV22" s="493"/>
      <c r="AW22" s="493"/>
      <c r="AX22" s="493"/>
      <c r="AY22" s="494"/>
      <c r="AZ22" s="96"/>
      <c r="BA22" s="9"/>
      <c r="BB22" s="9"/>
      <c r="BC22" s="126"/>
      <c r="BD22" s="126"/>
      <c r="BE22" s="126"/>
      <c r="BF22" s="129"/>
      <c r="BG22" s="129"/>
      <c r="BH22" s="129"/>
      <c r="BI22" s="129"/>
      <c r="BJ22" s="126"/>
      <c r="BK22" s="125"/>
      <c r="BL22" s="21"/>
      <c r="BM22" s="127"/>
      <c r="BN22" s="511"/>
      <c r="BO22" s="514"/>
      <c r="BP22" s="513"/>
      <c r="BQ22" s="107"/>
      <c r="BR22" s="108"/>
      <c r="BS22" s="488"/>
      <c r="BT22" s="489"/>
      <c r="BU22" s="490"/>
      <c r="BV22" s="491"/>
      <c r="BW22" s="488"/>
      <c r="BX22" s="490"/>
      <c r="BY22" s="490"/>
      <c r="BZ22" s="491"/>
      <c r="CA22" s="257"/>
      <c r="CB22" s="94"/>
      <c r="CC22" s="495"/>
      <c r="CD22" s="94"/>
      <c r="CE22" s="95"/>
      <c r="CF22" s="52"/>
    </row>
    <row r="23" spans="1:84" ht="30" customHeight="1" thickBot="1" x14ac:dyDescent="0.35">
      <c r="A23" s="60" t="str">
        <f t="shared" si="0"/>
        <v>Unitil</v>
      </c>
      <c r="B23" s="66" t="s">
        <v>383</v>
      </c>
      <c r="C23" s="66" t="s">
        <v>383</v>
      </c>
      <c r="D23" s="58" t="s">
        <v>391</v>
      </c>
      <c r="E23" s="58" t="s">
        <v>385</v>
      </c>
      <c r="F23" s="496"/>
      <c r="G23" s="496"/>
      <c r="H23" s="497"/>
      <c r="I23" s="529"/>
      <c r="J23" s="496"/>
      <c r="K23" s="496"/>
      <c r="L23" s="496"/>
      <c r="M23" s="496"/>
      <c r="N23" s="567"/>
      <c r="O23" s="530"/>
      <c r="P23" s="568"/>
      <c r="Q23" s="510"/>
      <c r="R23" s="531"/>
      <c r="S23" s="569"/>
      <c r="T23" s="569"/>
      <c r="U23" s="569"/>
      <c r="V23" s="569"/>
      <c r="W23" s="569"/>
      <c r="X23" s="569"/>
      <c r="Y23" s="569"/>
      <c r="Z23" s="569"/>
      <c r="AA23" s="569"/>
      <c r="AB23" s="569"/>
      <c r="AC23" s="569"/>
      <c r="AD23" s="569"/>
      <c r="AE23" s="569"/>
      <c r="AF23" s="569"/>
      <c r="AG23" s="569"/>
      <c r="AH23" s="569"/>
      <c r="AI23" s="569"/>
      <c r="AJ23" s="569"/>
      <c r="AK23" s="497"/>
      <c r="AL23" s="569"/>
      <c r="AM23" s="497"/>
      <c r="AN23" s="569"/>
      <c r="AO23" s="497"/>
      <c r="AP23" s="569"/>
      <c r="AQ23" s="497"/>
      <c r="AR23" s="492"/>
      <c r="AS23" s="493"/>
      <c r="AT23" s="493"/>
      <c r="AU23" s="493"/>
      <c r="AV23" s="493"/>
      <c r="AW23" s="493"/>
      <c r="AX23" s="493"/>
      <c r="AY23" s="494"/>
      <c r="AZ23" s="96"/>
      <c r="BA23" s="9"/>
      <c r="BB23" s="9"/>
      <c r="BC23" s="126"/>
      <c r="BD23" s="126"/>
      <c r="BE23" s="126"/>
      <c r="BF23" s="129"/>
      <c r="BG23" s="129"/>
      <c r="BH23" s="129"/>
      <c r="BI23" s="129"/>
      <c r="BJ23" s="126"/>
      <c r="BK23" s="125"/>
      <c r="BL23" s="21"/>
      <c r="BM23" s="127"/>
      <c r="BN23" s="515"/>
      <c r="BO23" s="516"/>
      <c r="BP23" s="517"/>
      <c r="BQ23" s="107"/>
      <c r="BR23" s="108"/>
      <c r="BS23" s="488"/>
      <c r="BT23" s="489"/>
      <c r="BU23" s="490"/>
      <c r="BV23" s="491"/>
      <c r="BW23" s="488"/>
      <c r="BX23" s="490"/>
      <c r="BY23" s="490"/>
      <c r="BZ23" s="491"/>
      <c r="CA23" s="257"/>
      <c r="CB23" s="94"/>
      <c r="CC23" s="495"/>
      <c r="CD23" s="94"/>
      <c r="CE23" s="95"/>
      <c r="CF23" s="52"/>
    </row>
    <row r="24" spans="1:84" ht="30" customHeight="1" thickBot="1" x14ac:dyDescent="0.35">
      <c r="A24" s="60" t="str">
        <f t="shared" si="0"/>
        <v>Unitil</v>
      </c>
      <c r="B24" s="66" t="s">
        <v>383</v>
      </c>
      <c r="C24" s="66" t="s">
        <v>383</v>
      </c>
      <c r="D24" s="58" t="s">
        <v>395</v>
      </c>
      <c r="E24" s="58" t="s">
        <v>395</v>
      </c>
      <c r="F24" s="58" t="s">
        <v>396</v>
      </c>
      <c r="G24" s="58" t="s">
        <v>395</v>
      </c>
      <c r="H24" s="10" t="s">
        <v>387</v>
      </c>
      <c r="I24" s="14" t="s">
        <v>383</v>
      </c>
      <c r="J24" s="128" t="s">
        <v>383</v>
      </c>
      <c r="K24" s="526"/>
      <c r="L24" s="526"/>
      <c r="M24" s="58"/>
      <c r="N24" s="527"/>
      <c r="O24" s="527"/>
      <c r="P24" s="524"/>
      <c r="Q24" s="560"/>
      <c r="R24" s="528"/>
      <c r="S24" s="128"/>
      <c r="T24" s="16"/>
      <c r="U24" s="128"/>
      <c r="V24" s="16"/>
      <c r="W24" s="128"/>
      <c r="X24" s="16"/>
      <c r="Y24" s="128"/>
      <c r="Z24" s="10"/>
      <c r="AA24" s="561"/>
      <c r="AB24" s="562"/>
      <c r="AC24" s="563"/>
      <c r="AD24" s="562"/>
      <c r="AE24" s="563"/>
      <c r="AF24" s="562"/>
      <c r="AG24" s="563"/>
      <c r="AH24" s="562"/>
      <c r="AI24" s="564"/>
      <c r="AJ24" s="565"/>
      <c r="AK24" s="566"/>
      <c r="AL24" s="565"/>
      <c r="AM24" s="565"/>
      <c r="AN24" s="565"/>
      <c r="AO24" s="565"/>
      <c r="AP24" s="565"/>
      <c r="AQ24" s="565"/>
      <c r="AR24" s="492"/>
      <c r="AS24" s="493"/>
      <c r="AT24" s="493"/>
      <c r="AU24" s="493"/>
      <c r="AV24" s="493"/>
      <c r="AW24" s="493"/>
      <c r="AX24" s="493"/>
      <c r="AY24" s="494"/>
      <c r="AZ24" s="96"/>
      <c r="BA24" s="9"/>
      <c r="BB24" s="9"/>
      <c r="BC24" s="126"/>
      <c r="BD24" s="126"/>
      <c r="BE24" s="126"/>
      <c r="BF24" s="129"/>
      <c r="BG24" s="129"/>
      <c r="BH24" s="129"/>
      <c r="BI24" s="129"/>
      <c r="BJ24" s="126"/>
      <c r="BK24" s="125"/>
      <c r="BL24" s="21"/>
      <c r="BM24" s="127"/>
      <c r="BN24" s="518"/>
      <c r="BO24" s="519"/>
      <c r="BP24" s="579"/>
      <c r="BQ24" s="107"/>
      <c r="BR24" s="108"/>
      <c r="BS24" s="488"/>
      <c r="BT24" s="489"/>
      <c r="BU24" s="490"/>
      <c r="BV24" s="491"/>
      <c r="BW24" s="488"/>
      <c r="BX24" s="490"/>
      <c r="BY24" s="490"/>
      <c r="BZ24" s="491"/>
      <c r="CA24" s="257"/>
      <c r="CB24" s="94"/>
      <c r="CC24" s="495"/>
      <c r="CD24" s="94"/>
      <c r="CE24" s="95"/>
      <c r="CF24" s="52"/>
    </row>
    <row r="25" spans="1:84" ht="30" customHeight="1" thickBot="1" x14ac:dyDescent="0.35">
      <c r="A25" s="60" t="str">
        <f t="shared" si="0"/>
        <v>Unitil</v>
      </c>
      <c r="B25" s="66" t="s">
        <v>383</v>
      </c>
      <c r="C25" s="66" t="s">
        <v>383</v>
      </c>
      <c r="D25" s="58" t="s">
        <v>395</v>
      </c>
      <c r="E25" s="58" t="s">
        <v>395</v>
      </c>
      <c r="F25" s="58" t="s">
        <v>397</v>
      </c>
      <c r="G25" s="58" t="s">
        <v>395</v>
      </c>
      <c r="H25" s="10" t="s">
        <v>387</v>
      </c>
      <c r="I25" s="14" t="s">
        <v>453</v>
      </c>
      <c r="J25" s="128" t="s">
        <v>454</v>
      </c>
      <c r="K25" s="526"/>
      <c r="L25" s="526"/>
      <c r="M25" s="58"/>
      <c r="N25" s="559"/>
      <c r="O25" s="527"/>
      <c r="P25" s="524"/>
      <c r="Q25" s="560"/>
      <c r="R25" s="528"/>
      <c r="S25" s="18"/>
      <c r="T25" s="16"/>
      <c r="U25" s="128"/>
      <c r="V25" s="16"/>
      <c r="W25" s="128"/>
      <c r="X25" s="16"/>
      <c r="Y25" s="18"/>
      <c r="Z25" s="10"/>
      <c r="AA25" s="561"/>
      <c r="AB25" s="562"/>
      <c r="AC25" s="563"/>
      <c r="AD25" s="562"/>
      <c r="AE25" s="563"/>
      <c r="AF25" s="562"/>
      <c r="AG25" s="563"/>
      <c r="AH25" s="562"/>
      <c r="AI25" s="564"/>
      <c r="AJ25" s="565"/>
      <c r="AK25" s="566"/>
      <c r="AL25" s="565"/>
      <c r="AM25" s="565"/>
      <c r="AN25" s="565"/>
      <c r="AO25" s="565"/>
      <c r="AP25" s="565"/>
      <c r="AQ25" s="565"/>
      <c r="AR25" s="492"/>
      <c r="AS25" s="493"/>
      <c r="AT25" s="493"/>
      <c r="AU25" s="493"/>
      <c r="AV25" s="493"/>
      <c r="AW25" s="493"/>
      <c r="AX25" s="493"/>
      <c r="AY25" s="494"/>
      <c r="AZ25" s="96"/>
      <c r="BA25" s="9"/>
      <c r="BB25" s="9"/>
      <c r="BC25" s="126"/>
      <c r="BD25" s="126"/>
      <c r="BE25" s="126"/>
      <c r="BF25" s="129"/>
      <c r="BG25" s="129"/>
      <c r="BH25" s="129"/>
      <c r="BI25" s="129"/>
      <c r="BJ25" s="126"/>
      <c r="BK25" s="125"/>
      <c r="BL25" s="21"/>
      <c r="BM25" s="127"/>
      <c r="BN25" s="518"/>
      <c r="BO25" s="519"/>
      <c r="BP25" s="579"/>
      <c r="BQ25" s="107"/>
      <c r="BR25" s="108"/>
      <c r="BS25" s="488"/>
      <c r="BT25" s="489"/>
      <c r="BU25" s="490"/>
      <c r="BV25" s="491"/>
      <c r="BW25" s="488"/>
      <c r="BX25" s="490"/>
      <c r="BY25" s="490"/>
      <c r="BZ25" s="491"/>
      <c r="CA25" s="257"/>
      <c r="CB25" s="94"/>
      <c r="CC25" s="495"/>
      <c r="CD25" s="94"/>
      <c r="CE25" s="95"/>
      <c r="CF25" s="52"/>
    </row>
    <row r="26" spans="1:84" ht="30" customHeight="1" thickBot="1" x14ac:dyDescent="0.35">
      <c r="A26" s="60" t="str">
        <f t="shared" si="0"/>
        <v>Unitil</v>
      </c>
      <c r="B26" s="66" t="s">
        <v>383</v>
      </c>
      <c r="C26" s="66" t="s">
        <v>383</v>
      </c>
      <c r="D26" s="58" t="s">
        <v>395</v>
      </c>
      <c r="E26" s="58" t="s">
        <v>395</v>
      </c>
      <c r="F26" s="58" t="s">
        <v>398</v>
      </c>
      <c r="G26" s="58" t="s">
        <v>399</v>
      </c>
      <c r="H26" s="10" t="s">
        <v>387</v>
      </c>
      <c r="I26" s="14" t="s">
        <v>453</v>
      </c>
      <c r="J26" s="128" t="s">
        <v>454</v>
      </c>
      <c r="K26" s="526"/>
      <c r="L26" s="526"/>
      <c r="M26" s="58"/>
      <c r="N26" s="559"/>
      <c r="O26" s="527"/>
      <c r="P26" s="524"/>
      <c r="Q26" s="560"/>
      <c r="R26" s="528"/>
      <c r="S26" s="18"/>
      <c r="T26" s="16"/>
      <c r="U26" s="128"/>
      <c r="V26" s="16"/>
      <c r="W26" s="128"/>
      <c r="X26" s="16"/>
      <c r="Y26" s="18"/>
      <c r="Z26" s="10"/>
      <c r="AA26" s="561"/>
      <c r="AB26" s="562"/>
      <c r="AC26" s="563"/>
      <c r="AD26" s="562"/>
      <c r="AE26" s="563"/>
      <c r="AF26" s="562"/>
      <c r="AG26" s="563"/>
      <c r="AH26" s="562"/>
      <c r="AI26" s="564"/>
      <c r="AJ26" s="565"/>
      <c r="AK26" s="566"/>
      <c r="AL26" s="565"/>
      <c r="AM26" s="565"/>
      <c r="AN26" s="565"/>
      <c r="AO26" s="565"/>
      <c r="AP26" s="565"/>
      <c r="AQ26" s="565"/>
      <c r="AR26" s="492"/>
      <c r="AS26" s="493"/>
      <c r="AT26" s="493"/>
      <c r="AU26" s="493"/>
      <c r="AV26" s="493"/>
      <c r="AW26" s="493"/>
      <c r="AX26" s="493"/>
      <c r="AY26" s="494"/>
      <c r="AZ26" s="96"/>
      <c r="BA26" s="9"/>
      <c r="BB26" s="9"/>
      <c r="BC26" s="126"/>
      <c r="BD26" s="126"/>
      <c r="BE26" s="126"/>
      <c r="BF26" s="129"/>
      <c r="BG26" s="129"/>
      <c r="BH26" s="129"/>
      <c r="BI26" s="129"/>
      <c r="BJ26" s="126"/>
      <c r="BK26" s="125"/>
      <c r="BL26" s="21"/>
      <c r="BM26" s="127"/>
      <c r="BN26" s="518"/>
      <c r="BO26" s="519"/>
      <c r="BP26" s="579"/>
      <c r="BQ26" s="107"/>
      <c r="BR26" s="108"/>
      <c r="BS26" s="488"/>
      <c r="BT26" s="489"/>
      <c r="BU26" s="490"/>
      <c r="BV26" s="491"/>
      <c r="BW26" s="488"/>
      <c r="BX26" s="490"/>
      <c r="BY26" s="490"/>
      <c r="BZ26" s="491"/>
      <c r="CA26" s="257"/>
      <c r="CB26" s="94"/>
      <c r="CC26" s="495"/>
      <c r="CD26" s="94"/>
      <c r="CE26" s="95"/>
      <c r="CF26" s="52"/>
    </row>
    <row r="27" spans="1:84" ht="30" customHeight="1" x14ac:dyDescent="0.3">
      <c r="A27" s="60" t="str">
        <f t="shared" si="0"/>
        <v>Unitil</v>
      </c>
      <c r="B27" s="66" t="s">
        <v>383</v>
      </c>
      <c r="C27" s="66" t="s">
        <v>383</v>
      </c>
      <c r="D27" s="58" t="s">
        <v>395</v>
      </c>
      <c r="E27" s="58" t="s">
        <v>395</v>
      </c>
      <c r="F27" s="58" t="s">
        <v>400</v>
      </c>
      <c r="G27" s="58" t="s">
        <v>395</v>
      </c>
      <c r="H27" s="10" t="s">
        <v>387</v>
      </c>
      <c r="I27" s="14" t="s">
        <v>453</v>
      </c>
      <c r="J27" s="128" t="s">
        <v>454</v>
      </c>
      <c r="K27" s="526"/>
      <c r="L27" s="526"/>
      <c r="M27" s="58"/>
      <c r="N27" s="559"/>
      <c r="O27" s="527"/>
      <c r="P27" s="524"/>
      <c r="Q27" s="560"/>
      <c r="R27" s="528"/>
      <c r="S27" s="18"/>
      <c r="T27" s="16"/>
      <c r="U27" s="128"/>
      <c r="V27" s="16"/>
      <c r="W27" s="128"/>
      <c r="X27" s="16"/>
      <c r="Y27" s="18"/>
      <c r="Z27" s="10"/>
      <c r="AA27" s="561"/>
      <c r="AB27" s="562"/>
      <c r="AC27" s="563"/>
      <c r="AD27" s="562"/>
      <c r="AE27" s="563"/>
      <c r="AF27" s="562"/>
      <c r="AG27" s="563"/>
      <c r="AH27" s="562"/>
      <c r="AI27" s="564"/>
      <c r="AJ27" s="565"/>
      <c r="AK27" s="566"/>
      <c r="AL27" s="565"/>
      <c r="AM27" s="565"/>
      <c r="AN27" s="565"/>
      <c r="AO27" s="565"/>
      <c r="AP27" s="565"/>
      <c r="AQ27" s="565"/>
      <c r="AR27" s="492"/>
      <c r="AS27" s="493"/>
      <c r="AT27" s="493"/>
      <c r="AU27" s="493"/>
      <c r="AV27" s="493"/>
      <c r="AW27" s="493"/>
      <c r="AX27" s="493"/>
      <c r="AY27" s="494"/>
      <c r="AZ27" s="96"/>
      <c r="BA27" s="9"/>
      <c r="BB27" s="9"/>
      <c r="BC27" s="126"/>
      <c r="BD27" s="126"/>
      <c r="BE27" s="126"/>
      <c r="BF27" s="129"/>
      <c r="BG27" s="129"/>
      <c r="BH27" s="129"/>
      <c r="BI27" s="129"/>
      <c r="BJ27" s="126"/>
      <c r="BK27" s="125"/>
      <c r="BL27" s="21"/>
      <c r="BM27" s="127"/>
      <c r="BN27" s="518"/>
      <c r="BO27" s="519"/>
      <c r="BP27" s="579"/>
      <c r="BQ27" s="107"/>
      <c r="BR27" s="108"/>
      <c r="BS27" s="488"/>
      <c r="BT27" s="489"/>
      <c r="BU27" s="490"/>
      <c r="BV27" s="491"/>
      <c r="BW27" s="488"/>
      <c r="BX27" s="490"/>
      <c r="BY27" s="490"/>
      <c r="BZ27" s="491"/>
      <c r="CA27" s="257"/>
      <c r="CB27" s="94"/>
      <c r="CC27" s="495"/>
      <c r="CD27" s="94"/>
      <c r="CE27" s="95"/>
      <c r="CF27" s="52"/>
    </row>
    <row r="28" spans="1:84" ht="30" customHeight="1" thickBot="1" x14ac:dyDescent="0.35">
      <c r="A28" s="60" t="str">
        <f t="shared" si="0"/>
        <v>Unitil</v>
      </c>
      <c r="B28" s="66" t="s">
        <v>383</v>
      </c>
      <c r="C28" s="66" t="s">
        <v>383</v>
      </c>
      <c r="D28" s="58" t="s">
        <v>395</v>
      </c>
      <c r="E28" s="58" t="s">
        <v>395</v>
      </c>
      <c r="F28" s="496"/>
      <c r="G28" s="496"/>
      <c r="H28" s="497"/>
      <c r="I28" s="529"/>
      <c r="J28" s="496"/>
      <c r="K28" s="496"/>
      <c r="L28" s="496"/>
      <c r="M28" s="496"/>
      <c r="N28" s="567"/>
      <c r="O28" s="530"/>
      <c r="P28" s="568"/>
      <c r="Q28" s="510"/>
      <c r="R28" s="531"/>
      <c r="S28" s="569"/>
      <c r="T28" s="569"/>
      <c r="U28" s="569"/>
      <c r="V28" s="569"/>
      <c r="W28" s="569"/>
      <c r="X28" s="569"/>
      <c r="Y28" s="569"/>
      <c r="Z28" s="569"/>
      <c r="AA28" s="569"/>
      <c r="AB28" s="569"/>
      <c r="AC28" s="569"/>
      <c r="AD28" s="569"/>
      <c r="AE28" s="569"/>
      <c r="AF28" s="569"/>
      <c r="AG28" s="569"/>
      <c r="AH28" s="569"/>
      <c r="AI28" s="569"/>
      <c r="AJ28" s="569"/>
      <c r="AK28" s="497"/>
      <c r="AL28" s="569"/>
      <c r="AM28" s="497"/>
      <c r="AN28" s="569"/>
      <c r="AO28" s="497"/>
      <c r="AP28" s="569"/>
      <c r="AQ28" s="497"/>
      <c r="AR28" s="492"/>
      <c r="AS28" s="493"/>
      <c r="AT28" s="493"/>
      <c r="AU28" s="493"/>
      <c r="AV28" s="493"/>
      <c r="AW28" s="493"/>
      <c r="AX28" s="493"/>
      <c r="AY28" s="494"/>
      <c r="AZ28" s="96"/>
      <c r="BA28" s="9"/>
      <c r="BB28" s="9"/>
      <c r="BC28" s="126"/>
      <c r="BD28" s="126"/>
      <c r="BE28" s="126"/>
      <c r="BF28" s="129"/>
      <c r="BG28" s="129"/>
      <c r="BH28" s="129"/>
      <c r="BI28" s="129"/>
      <c r="BJ28" s="126"/>
      <c r="BK28" s="125"/>
      <c r="BL28" s="21"/>
      <c r="BM28" s="127"/>
      <c r="BN28" s="515"/>
      <c r="BO28" s="516"/>
      <c r="BP28" s="517"/>
      <c r="BQ28" s="107"/>
      <c r="BR28" s="108"/>
      <c r="BS28" s="488"/>
      <c r="BT28" s="489"/>
      <c r="BU28" s="490"/>
      <c r="BV28" s="491"/>
      <c r="BW28" s="488"/>
      <c r="BX28" s="490"/>
      <c r="BY28" s="490"/>
      <c r="BZ28" s="491"/>
      <c r="CA28" s="257"/>
      <c r="CB28" s="94"/>
      <c r="CC28" s="495"/>
      <c r="CD28" s="94"/>
      <c r="CE28" s="95"/>
      <c r="CF28" s="52"/>
    </row>
    <row r="29" spans="1:84" ht="30" customHeight="1" x14ac:dyDescent="0.3">
      <c r="A29" s="60" t="str">
        <f t="shared" si="0"/>
        <v>Unitil</v>
      </c>
      <c r="B29" s="66" t="s">
        <v>383</v>
      </c>
      <c r="C29" s="66" t="s">
        <v>383</v>
      </c>
      <c r="D29" s="58" t="s">
        <v>401</v>
      </c>
      <c r="E29" s="58" t="s">
        <v>385</v>
      </c>
      <c r="F29" s="58" t="s">
        <v>402</v>
      </c>
      <c r="G29" s="58" t="s">
        <v>385</v>
      </c>
      <c r="H29" s="10" t="s">
        <v>387</v>
      </c>
      <c r="I29" s="14" t="s">
        <v>453</v>
      </c>
      <c r="J29" s="128" t="s">
        <v>454</v>
      </c>
      <c r="K29" s="526"/>
      <c r="L29" s="526"/>
      <c r="M29" s="58"/>
      <c r="N29" s="559"/>
      <c r="O29" s="527"/>
      <c r="P29" s="524"/>
      <c r="Q29" s="560"/>
      <c r="R29" s="528"/>
      <c r="S29" s="18"/>
      <c r="T29" s="16"/>
      <c r="U29" s="128"/>
      <c r="V29" s="16"/>
      <c r="W29" s="128"/>
      <c r="X29" s="16"/>
      <c r="Y29" s="18"/>
      <c r="Z29" s="10"/>
      <c r="AA29" s="561"/>
      <c r="AB29" s="562"/>
      <c r="AC29" s="563"/>
      <c r="AD29" s="562"/>
      <c r="AE29" s="563"/>
      <c r="AF29" s="562"/>
      <c r="AG29" s="563"/>
      <c r="AH29" s="562"/>
      <c r="AI29" s="564"/>
      <c r="AJ29" s="565"/>
      <c r="AK29" s="566"/>
      <c r="AL29" s="565"/>
      <c r="AM29" s="565"/>
      <c r="AN29" s="565"/>
      <c r="AO29" s="565"/>
      <c r="AP29" s="565"/>
      <c r="AQ29" s="565"/>
      <c r="AR29" s="492"/>
      <c r="AS29" s="493"/>
      <c r="AT29" s="493"/>
      <c r="AU29" s="493"/>
      <c r="AV29" s="493"/>
      <c r="AW29" s="493"/>
      <c r="AX29" s="493"/>
      <c r="AY29" s="494"/>
      <c r="AZ29" s="96"/>
      <c r="BA29" s="9"/>
      <c r="BB29" s="9"/>
      <c r="BC29" s="126"/>
      <c r="BD29" s="126"/>
      <c r="BE29" s="126"/>
      <c r="BF29" s="129"/>
      <c r="BG29" s="129"/>
      <c r="BH29" s="129"/>
      <c r="BI29" s="129"/>
      <c r="BJ29" s="126"/>
      <c r="BK29" s="125"/>
      <c r="BL29" s="21"/>
      <c r="BM29" s="127"/>
      <c r="BN29" s="511"/>
      <c r="BO29" s="514"/>
      <c r="BP29" s="513"/>
      <c r="BQ29" s="107"/>
      <c r="BR29" s="108"/>
      <c r="BS29" s="488"/>
      <c r="BT29" s="489"/>
      <c r="BU29" s="490"/>
      <c r="BV29" s="491"/>
      <c r="BW29" s="488"/>
      <c r="BX29" s="490"/>
      <c r="BY29" s="490"/>
      <c r="BZ29" s="491"/>
      <c r="CA29" s="257"/>
      <c r="CB29" s="94"/>
      <c r="CC29" s="495"/>
      <c r="CD29" s="94"/>
      <c r="CE29" s="95"/>
      <c r="CF29" s="52"/>
    </row>
    <row r="30" spans="1:84" ht="30" customHeight="1" thickBot="1" x14ac:dyDescent="0.35">
      <c r="A30" s="60" t="str">
        <f t="shared" si="0"/>
        <v>Unitil</v>
      </c>
      <c r="B30" s="66" t="s">
        <v>383</v>
      </c>
      <c r="C30" s="66" t="s">
        <v>383</v>
      </c>
      <c r="D30" s="58" t="s">
        <v>401</v>
      </c>
      <c r="E30" s="58" t="s">
        <v>385</v>
      </c>
      <c r="F30" s="496"/>
      <c r="G30" s="496"/>
      <c r="H30" s="497"/>
      <c r="I30" s="529"/>
      <c r="J30" s="496"/>
      <c r="K30" s="496"/>
      <c r="L30" s="496"/>
      <c r="M30" s="496"/>
      <c r="N30" s="567"/>
      <c r="O30" s="530"/>
      <c r="P30" s="568"/>
      <c r="Q30" s="510"/>
      <c r="R30" s="531"/>
      <c r="S30" s="569"/>
      <c r="T30" s="569"/>
      <c r="U30" s="569"/>
      <c r="V30" s="569"/>
      <c r="W30" s="569"/>
      <c r="X30" s="569"/>
      <c r="Y30" s="569"/>
      <c r="Z30" s="569"/>
      <c r="AA30" s="569"/>
      <c r="AB30" s="569"/>
      <c r="AC30" s="569"/>
      <c r="AD30" s="569"/>
      <c r="AE30" s="569"/>
      <c r="AF30" s="569"/>
      <c r="AG30" s="569"/>
      <c r="AH30" s="569"/>
      <c r="AI30" s="569"/>
      <c r="AJ30" s="569"/>
      <c r="AK30" s="497"/>
      <c r="AL30" s="569"/>
      <c r="AM30" s="497"/>
      <c r="AN30" s="569"/>
      <c r="AO30" s="497"/>
      <c r="AP30" s="569"/>
      <c r="AQ30" s="497"/>
      <c r="AR30" s="492"/>
      <c r="AS30" s="493"/>
      <c r="AT30" s="493"/>
      <c r="AU30" s="493"/>
      <c r="AV30" s="493"/>
      <c r="AW30" s="493"/>
      <c r="AX30" s="493"/>
      <c r="AY30" s="494"/>
      <c r="AZ30" s="96"/>
      <c r="BA30" s="9"/>
      <c r="BB30" s="9"/>
      <c r="BC30" s="126"/>
      <c r="BD30" s="126"/>
      <c r="BE30" s="126"/>
      <c r="BF30" s="129"/>
      <c r="BG30" s="129"/>
      <c r="BH30" s="129"/>
      <c r="BI30" s="129"/>
      <c r="BJ30" s="126"/>
      <c r="BK30" s="125"/>
      <c r="BL30" s="21"/>
      <c r="BM30" s="127"/>
      <c r="BN30" s="515"/>
      <c r="BO30" s="516"/>
      <c r="BP30" s="517"/>
      <c r="BQ30" s="107"/>
      <c r="BR30" s="108"/>
      <c r="BS30" s="488"/>
      <c r="BT30" s="489"/>
      <c r="BU30" s="490"/>
      <c r="BV30" s="491"/>
      <c r="BW30" s="488"/>
      <c r="BX30" s="490"/>
      <c r="BY30" s="490"/>
      <c r="BZ30" s="491"/>
      <c r="CA30" s="257"/>
      <c r="CB30" s="94"/>
      <c r="CC30" s="495"/>
      <c r="CD30" s="94"/>
      <c r="CE30" s="95"/>
      <c r="CF30" s="52"/>
    </row>
    <row r="31" spans="1:84" ht="30" customHeight="1" x14ac:dyDescent="0.3">
      <c r="A31" s="60" t="str">
        <f t="shared" si="0"/>
        <v>Unitil</v>
      </c>
      <c r="B31" s="66" t="s">
        <v>383</v>
      </c>
      <c r="C31" s="66" t="s">
        <v>383</v>
      </c>
      <c r="D31" s="58" t="s">
        <v>403</v>
      </c>
      <c r="E31" s="58" t="s">
        <v>385</v>
      </c>
      <c r="F31" s="58">
        <v>1341</v>
      </c>
      <c r="G31" s="58" t="s">
        <v>385</v>
      </c>
      <c r="H31" s="10" t="s">
        <v>387</v>
      </c>
      <c r="I31" s="14" t="s">
        <v>453</v>
      </c>
      <c r="J31" s="128" t="s">
        <v>454</v>
      </c>
      <c r="K31" s="526"/>
      <c r="L31" s="526"/>
      <c r="M31" s="58"/>
      <c r="N31" s="570"/>
      <c r="O31" s="527"/>
      <c r="P31" s="571"/>
      <c r="Q31" s="560"/>
      <c r="R31" s="528"/>
      <c r="S31" s="18"/>
      <c r="T31" s="16"/>
      <c r="U31" s="128"/>
      <c r="V31" s="16"/>
      <c r="W31" s="128"/>
      <c r="X31" s="16"/>
      <c r="Y31" s="18"/>
      <c r="Z31" s="10"/>
      <c r="AA31" s="561"/>
      <c r="AB31" s="562"/>
      <c r="AC31" s="563"/>
      <c r="AD31" s="562"/>
      <c r="AE31" s="563"/>
      <c r="AF31" s="562"/>
      <c r="AG31" s="563"/>
      <c r="AH31" s="562"/>
      <c r="AI31" s="564"/>
      <c r="AJ31" s="565"/>
      <c r="AK31" s="566"/>
      <c r="AL31" s="565"/>
      <c r="AM31" s="565"/>
      <c r="AN31" s="565"/>
      <c r="AO31" s="565"/>
      <c r="AP31" s="565"/>
      <c r="AQ31" s="565"/>
      <c r="AR31" s="492"/>
      <c r="AS31" s="493"/>
      <c r="AT31" s="493"/>
      <c r="AU31" s="493"/>
      <c r="AV31" s="493"/>
      <c r="AW31" s="493"/>
      <c r="AX31" s="493"/>
      <c r="AY31" s="494"/>
      <c r="AZ31" s="96"/>
      <c r="BA31" s="9"/>
      <c r="BB31" s="9"/>
      <c r="BC31" s="126"/>
      <c r="BD31" s="126"/>
      <c r="BE31" s="126"/>
      <c r="BF31" s="129"/>
      <c r="BG31" s="129"/>
      <c r="BH31" s="129"/>
      <c r="BI31" s="129"/>
      <c r="BJ31" s="126"/>
      <c r="BK31" s="125"/>
      <c r="BL31" s="21"/>
      <c r="BM31" s="127"/>
      <c r="BN31" s="511"/>
      <c r="BO31" s="514"/>
      <c r="BP31" s="513"/>
      <c r="BQ31" s="107"/>
      <c r="BR31" s="108"/>
      <c r="BS31" s="488"/>
      <c r="BT31" s="489"/>
      <c r="BU31" s="490"/>
      <c r="BV31" s="491"/>
      <c r="BW31" s="488"/>
      <c r="BX31" s="490"/>
      <c r="BY31" s="490"/>
      <c r="BZ31" s="491"/>
      <c r="CA31" s="257"/>
      <c r="CB31" s="94"/>
      <c r="CC31" s="495"/>
      <c r="CD31" s="94"/>
      <c r="CE31" s="95"/>
      <c r="CF31" s="52"/>
    </row>
    <row r="32" spans="1:84" ht="30" customHeight="1" thickBot="1" x14ac:dyDescent="0.35">
      <c r="A32" s="60" t="str">
        <f t="shared" si="0"/>
        <v>Unitil</v>
      </c>
      <c r="B32" s="66" t="s">
        <v>383</v>
      </c>
      <c r="C32" s="66" t="s">
        <v>383</v>
      </c>
      <c r="D32" s="58" t="s">
        <v>403</v>
      </c>
      <c r="E32" s="58" t="s">
        <v>385</v>
      </c>
      <c r="F32" s="496"/>
      <c r="G32" s="496"/>
      <c r="H32" s="497"/>
      <c r="I32" s="529"/>
      <c r="J32" s="496"/>
      <c r="K32" s="496"/>
      <c r="L32" s="496"/>
      <c r="M32" s="496"/>
      <c r="N32" s="567"/>
      <c r="O32" s="530"/>
      <c r="P32" s="568"/>
      <c r="Q32" s="510"/>
      <c r="R32" s="531"/>
      <c r="S32" s="569"/>
      <c r="T32" s="569"/>
      <c r="U32" s="569"/>
      <c r="V32" s="569"/>
      <c r="W32" s="569"/>
      <c r="X32" s="569"/>
      <c r="Y32" s="569"/>
      <c r="Z32" s="569"/>
      <c r="AA32" s="569"/>
      <c r="AB32" s="569"/>
      <c r="AC32" s="569"/>
      <c r="AD32" s="569"/>
      <c r="AE32" s="569"/>
      <c r="AF32" s="569"/>
      <c r="AG32" s="569"/>
      <c r="AH32" s="569"/>
      <c r="AI32" s="569"/>
      <c r="AJ32" s="569"/>
      <c r="AK32" s="497"/>
      <c r="AL32" s="569"/>
      <c r="AM32" s="497"/>
      <c r="AN32" s="569"/>
      <c r="AO32" s="497"/>
      <c r="AP32" s="569"/>
      <c r="AQ32" s="497"/>
      <c r="AR32" s="492"/>
      <c r="AS32" s="493"/>
      <c r="AT32" s="493"/>
      <c r="AU32" s="493"/>
      <c r="AV32" s="493"/>
      <c r="AW32" s="493"/>
      <c r="AX32" s="493"/>
      <c r="AY32" s="494"/>
      <c r="AZ32" s="96"/>
      <c r="BA32" s="9"/>
      <c r="BB32" s="9"/>
      <c r="BC32" s="126"/>
      <c r="BD32" s="126"/>
      <c r="BE32" s="126"/>
      <c r="BF32" s="129"/>
      <c r="BG32" s="129"/>
      <c r="BH32" s="129"/>
      <c r="BI32" s="129"/>
      <c r="BJ32" s="126"/>
      <c r="BK32" s="125"/>
      <c r="BL32" s="21"/>
      <c r="BM32" s="127"/>
      <c r="BN32" s="515"/>
      <c r="BO32" s="516"/>
      <c r="BP32" s="517"/>
      <c r="BQ32" s="107"/>
      <c r="BR32" s="108"/>
      <c r="BS32" s="488"/>
      <c r="BT32" s="489"/>
      <c r="BU32" s="490"/>
      <c r="BV32" s="491"/>
      <c r="BW32" s="488"/>
      <c r="BX32" s="490"/>
      <c r="BY32" s="490"/>
      <c r="BZ32" s="491"/>
      <c r="CA32" s="257"/>
      <c r="CB32" s="94"/>
      <c r="CC32" s="495"/>
      <c r="CD32" s="94"/>
      <c r="CE32" s="95"/>
      <c r="CF32" s="52"/>
    </row>
    <row r="33" spans="1:84" ht="30" customHeight="1" thickBot="1" x14ac:dyDescent="0.35">
      <c r="A33" s="60" t="str">
        <f t="shared" si="0"/>
        <v>Unitil</v>
      </c>
      <c r="B33" s="66" t="s">
        <v>383</v>
      </c>
      <c r="C33" s="66" t="s">
        <v>383</v>
      </c>
      <c r="D33" s="58" t="s">
        <v>404</v>
      </c>
      <c r="E33" s="58" t="s">
        <v>385</v>
      </c>
      <c r="F33" s="58" t="s">
        <v>405</v>
      </c>
      <c r="G33" s="58" t="s">
        <v>385</v>
      </c>
      <c r="H33" s="10" t="s">
        <v>387</v>
      </c>
      <c r="I33" s="14" t="s">
        <v>458</v>
      </c>
      <c r="J33" s="128" t="s">
        <v>454</v>
      </c>
      <c r="K33" s="526"/>
      <c r="L33" s="526"/>
      <c r="M33" s="58"/>
      <c r="N33" s="570"/>
      <c r="O33" s="527"/>
      <c r="P33" s="524"/>
      <c r="Q33" s="560"/>
      <c r="R33" s="528"/>
      <c r="S33" s="18"/>
      <c r="T33" s="16"/>
      <c r="U33" s="128"/>
      <c r="V33" s="16"/>
      <c r="W33" s="18"/>
      <c r="X33" s="16"/>
      <c r="Y33" s="18"/>
      <c r="Z33" s="10"/>
      <c r="AA33" s="561"/>
      <c r="AB33" s="562"/>
      <c r="AC33" s="563"/>
      <c r="AD33" s="562"/>
      <c r="AE33" s="563"/>
      <c r="AF33" s="562"/>
      <c r="AG33" s="563"/>
      <c r="AH33" s="562"/>
      <c r="AI33" s="564"/>
      <c r="AJ33" s="565"/>
      <c r="AK33" s="566"/>
      <c r="AL33" s="565"/>
      <c r="AM33" s="565"/>
      <c r="AN33" s="565"/>
      <c r="AO33" s="565"/>
      <c r="AP33" s="565"/>
      <c r="AQ33" s="565"/>
      <c r="AR33" s="492"/>
      <c r="AS33" s="493"/>
      <c r="AT33" s="493"/>
      <c r="AU33" s="493"/>
      <c r="AV33" s="493"/>
      <c r="AW33" s="493"/>
      <c r="AX33" s="493"/>
      <c r="AY33" s="494"/>
      <c r="AZ33" s="96"/>
      <c r="BA33" s="9"/>
      <c r="BB33" s="9"/>
      <c r="BC33" s="126"/>
      <c r="BD33" s="126"/>
      <c r="BE33" s="126"/>
      <c r="BF33" s="129"/>
      <c r="BG33" s="129"/>
      <c r="BH33" s="129"/>
      <c r="BI33" s="129"/>
      <c r="BJ33" s="126"/>
      <c r="BK33" s="125"/>
      <c r="BL33" s="21"/>
      <c r="BM33" s="127"/>
      <c r="BN33" s="511"/>
      <c r="BO33" s="514"/>
      <c r="BP33" s="513"/>
      <c r="BQ33" s="107"/>
      <c r="BR33" s="108"/>
      <c r="BS33" s="488"/>
      <c r="BT33" s="489"/>
      <c r="BU33" s="490"/>
      <c r="BV33" s="491"/>
      <c r="BW33" s="488"/>
      <c r="BX33" s="490"/>
      <c r="BY33" s="490"/>
      <c r="BZ33" s="491"/>
      <c r="CA33" s="257"/>
      <c r="CB33" s="94"/>
      <c r="CC33" s="495"/>
      <c r="CD33" s="94"/>
      <c r="CE33" s="95"/>
      <c r="CF33" s="52"/>
    </row>
    <row r="34" spans="1:84" ht="30" customHeight="1" thickBot="1" x14ac:dyDescent="0.35">
      <c r="A34" s="60" t="str">
        <f t="shared" si="0"/>
        <v>Unitil</v>
      </c>
      <c r="B34" s="66" t="s">
        <v>383</v>
      </c>
      <c r="C34" s="66" t="s">
        <v>383</v>
      </c>
      <c r="D34" s="58" t="s">
        <v>404</v>
      </c>
      <c r="E34" s="58" t="s">
        <v>385</v>
      </c>
      <c r="F34" s="58" t="s">
        <v>406</v>
      </c>
      <c r="G34" s="58" t="s">
        <v>385</v>
      </c>
      <c r="H34" s="10" t="s">
        <v>387</v>
      </c>
      <c r="I34" s="14" t="s">
        <v>458</v>
      </c>
      <c r="J34" s="128" t="s">
        <v>454</v>
      </c>
      <c r="K34" s="526"/>
      <c r="L34" s="526"/>
      <c r="M34" s="58"/>
      <c r="N34" s="570"/>
      <c r="O34" s="527"/>
      <c r="P34" s="524"/>
      <c r="Q34" s="560"/>
      <c r="R34" s="528"/>
      <c r="S34" s="18"/>
      <c r="T34" s="16"/>
      <c r="U34" s="18"/>
      <c r="V34" s="16"/>
      <c r="W34" s="18"/>
      <c r="X34" s="16"/>
      <c r="Y34" s="18"/>
      <c r="Z34" s="10"/>
      <c r="AA34" s="561"/>
      <c r="AB34" s="562"/>
      <c r="AC34" s="563"/>
      <c r="AD34" s="562"/>
      <c r="AE34" s="563"/>
      <c r="AF34" s="562"/>
      <c r="AG34" s="563"/>
      <c r="AH34" s="562"/>
      <c r="AI34" s="564"/>
      <c r="AJ34" s="565"/>
      <c r="AK34" s="566"/>
      <c r="AL34" s="565"/>
      <c r="AM34" s="565"/>
      <c r="AN34" s="565"/>
      <c r="AO34" s="565"/>
      <c r="AP34" s="565"/>
      <c r="AQ34" s="565"/>
      <c r="AR34" s="492"/>
      <c r="AS34" s="493"/>
      <c r="AT34" s="493"/>
      <c r="AU34" s="493"/>
      <c r="AV34" s="493"/>
      <c r="AW34" s="493"/>
      <c r="AX34" s="493"/>
      <c r="AY34" s="494"/>
      <c r="AZ34" s="96"/>
      <c r="BA34" s="9"/>
      <c r="BB34" s="9"/>
      <c r="BC34" s="126"/>
      <c r="BD34" s="126"/>
      <c r="BE34" s="126"/>
      <c r="BF34" s="129"/>
      <c r="BG34" s="129"/>
      <c r="BH34" s="129"/>
      <c r="BI34" s="129"/>
      <c r="BJ34" s="126"/>
      <c r="BK34" s="125"/>
      <c r="BL34" s="21"/>
      <c r="BM34" s="127"/>
      <c r="BN34" s="511"/>
      <c r="BO34" s="514"/>
      <c r="BP34" s="513"/>
      <c r="BQ34" s="107"/>
      <c r="BR34" s="108"/>
      <c r="BS34" s="488"/>
      <c r="BT34" s="489"/>
      <c r="BU34" s="490"/>
      <c r="BV34" s="491"/>
      <c r="BW34" s="488"/>
      <c r="BX34" s="490"/>
      <c r="BY34" s="490"/>
      <c r="BZ34" s="491"/>
      <c r="CA34" s="257"/>
      <c r="CB34" s="94"/>
      <c r="CC34" s="495"/>
      <c r="CD34" s="94"/>
      <c r="CE34" s="95"/>
      <c r="CF34" s="52"/>
    </row>
    <row r="35" spans="1:84" ht="30" customHeight="1" thickBot="1" x14ac:dyDescent="0.35">
      <c r="A35" s="60" t="str">
        <f t="shared" si="0"/>
        <v>Unitil</v>
      </c>
      <c r="B35" s="66" t="s">
        <v>383</v>
      </c>
      <c r="C35" s="66" t="s">
        <v>383</v>
      </c>
      <c r="D35" s="58" t="s">
        <v>404</v>
      </c>
      <c r="E35" s="58" t="s">
        <v>385</v>
      </c>
      <c r="F35" s="58" t="s">
        <v>407</v>
      </c>
      <c r="G35" s="58" t="s">
        <v>385</v>
      </c>
      <c r="H35" s="10" t="s">
        <v>387</v>
      </c>
      <c r="I35" s="14" t="s">
        <v>458</v>
      </c>
      <c r="J35" s="128" t="s">
        <v>454</v>
      </c>
      <c r="K35" s="526"/>
      <c r="L35" s="526"/>
      <c r="M35" s="58"/>
      <c r="N35" s="570"/>
      <c r="O35" s="527"/>
      <c r="P35" s="524"/>
      <c r="Q35" s="560"/>
      <c r="R35" s="528"/>
      <c r="S35" s="18"/>
      <c r="T35" s="16"/>
      <c r="U35" s="18"/>
      <c r="V35" s="16"/>
      <c r="W35" s="18"/>
      <c r="X35" s="16"/>
      <c r="Y35" s="18"/>
      <c r="Z35" s="10"/>
      <c r="AA35" s="561"/>
      <c r="AB35" s="562"/>
      <c r="AC35" s="563"/>
      <c r="AD35" s="562"/>
      <c r="AE35" s="563"/>
      <c r="AF35" s="562"/>
      <c r="AG35" s="563"/>
      <c r="AH35" s="562"/>
      <c r="AI35" s="564"/>
      <c r="AJ35" s="565"/>
      <c r="AK35" s="566"/>
      <c r="AL35" s="565"/>
      <c r="AM35" s="565"/>
      <c r="AN35" s="565"/>
      <c r="AO35" s="565"/>
      <c r="AP35" s="565"/>
      <c r="AQ35" s="565"/>
      <c r="AR35" s="492"/>
      <c r="AS35" s="493"/>
      <c r="AT35" s="493"/>
      <c r="AU35" s="493"/>
      <c r="AV35" s="493"/>
      <c r="AW35" s="493"/>
      <c r="AX35" s="493"/>
      <c r="AY35" s="494"/>
      <c r="AZ35" s="96"/>
      <c r="BA35" s="9"/>
      <c r="BB35" s="9"/>
      <c r="BC35" s="126"/>
      <c r="BD35" s="126"/>
      <c r="BE35" s="126"/>
      <c r="BF35" s="129"/>
      <c r="BG35" s="129"/>
      <c r="BH35" s="129"/>
      <c r="BI35" s="129"/>
      <c r="BJ35" s="126"/>
      <c r="BK35" s="125"/>
      <c r="BL35" s="21"/>
      <c r="BM35" s="127"/>
      <c r="BN35" s="511"/>
      <c r="BO35" s="514"/>
      <c r="BP35" s="513"/>
      <c r="BQ35" s="107"/>
      <c r="BR35" s="108"/>
      <c r="BS35" s="488"/>
      <c r="BT35" s="489"/>
      <c r="BU35" s="490"/>
      <c r="BV35" s="491"/>
      <c r="BW35" s="488"/>
      <c r="BX35" s="490"/>
      <c r="BY35" s="490"/>
      <c r="BZ35" s="491"/>
      <c r="CA35" s="257"/>
      <c r="CB35" s="94"/>
      <c r="CC35" s="495"/>
      <c r="CD35" s="94"/>
      <c r="CE35" s="95"/>
      <c r="CF35" s="52"/>
    </row>
    <row r="36" spans="1:84" ht="30" customHeight="1" thickBot="1" x14ac:dyDescent="0.35">
      <c r="A36" s="60" t="str">
        <f t="shared" si="0"/>
        <v>Unitil</v>
      </c>
      <c r="B36" s="66" t="s">
        <v>383</v>
      </c>
      <c r="C36" s="66" t="s">
        <v>383</v>
      </c>
      <c r="D36" s="58" t="s">
        <v>404</v>
      </c>
      <c r="E36" s="58" t="s">
        <v>385</v>
      </c>
      <c r="F36" s="58" t="s">
        <v>408</v>
      </c>
      <c r="G36" s="58" t="s">
        <v>385</v>
      </c>
      <c r="H36" s="10" t="s">
        <v>387</v>
      </c>
      <c r="I36" s="14" t="s">
        <v>458</v>
      </c>
      <c r="J36" s="128" t="s">
        <v>454</v>
      </c>
      <c r="K36" s="526"/>
      <c r="L36" s="526"/>
      <c r="M36" s="58"/>
      <c r="N36" s="570"/>
      <c r="O36" s="527"/>
      <c r="P36" s="524"/>
      <c r="Q36" s="560"/>
      <c r="R36" s="528"/>
      <c r="S36" s="18"/>
      <c r="T36" s="16"/>
      <c r="U36" s="18"/>
      <c r="V36" s="16"/>
      <c r="W36" s="18"/>
      <c r="X36" s="16"/>
      <c r="Y36" s="18"/>
      <c r="Z36" s="10"/>
      <c r="AA36" s="561"/>
      <c r="AB36" s="562"/>
      <c r="AC36" s="563"/>
      <c r="AD36" s="562"/>
      <c r="AE36" s="563"/>
      <c r="AF36" s="562"/>
      <c r="AG36" s="563"/>
      <c r="AH36" s="562"/>
      <c r="AI36" s="564"/>
      <c r="AJ36" s="565"/>
      <c r="AK36" s="566"/>
      <c r="AL36" s="565"/>
      <c r="AM36" s="565"/>
      <c r="AN36" s="565"/>
      <c r="AO36" s="565"/>
      <c r="AP36" s="565"/>
      <c r="AQ36" s="565"/>
      <c r="AR36" s="492"/>
      <c r="AS36" s="493"/>
      <c r="AT36" s="493"/>
      <c r="AU36" s="493"/>
      <c r="AV36" s="493"/>
      <c r="AW36" s="493"/>
      <c r="AX36" s="493"/>
      <c r="AY36" s="494"/>
      <c r="AZ36" s="96"/>
      <c r="BA36" s="9"/>
      <c r="BB36" s="9"/>
      <c r="BC36" s="126"/>
      <c r="BD36" s="126"/>
      <c r="BE36" s="126"/>
      <c r="BF36" s="129"/>
      <c r="BG36" s="129"/>
      <c r="BH36" s="129"/>
      <c r="BI36" s="129"/>
      <c r="BJ36" s="126"/>
      <c r="BK36" s="125"/>
      <c r="BL36" s="21"/>
      <c r="BM36" s="127"/>
      <c r="BN36" s="511"/>
      <c r="BO36" s="514"/>
      <c r="BP36" s="513"/>
      <c r="BQ36" s="107"/>
      <c r="BR36" s="108"/>
      <c r="BS36" s="488"/>
      <c r="BT36" s="489"/>
      <c r="BU36" s="490"/>
      <c r="BV36" s="491"/>
      <c r="BW36" s="488"/>
      <c r="BX36" s="490"/>
      <c r="BY36" s="490"/>
      <c r="BZ36" s="491"/>
      <c r="CA36" s="257"/>
      <c r="CB36" s="94"/>
      <c r="CC36" s="495"/>
      <c r="CD36" s="94"/>
      <c r="CE36" s="95"/>
      <c r="CF36" s="52"/>
    </row>
    <row r="37" spans="1:84" ht="30" customHeight="1" thickBot="1" x14ac:dyDescent="0.35">
      <c r="A37" s="60" t="str">
        <f t="shared" si="0"/>
        <v>Unitil</v>
      </c>
      <c r="B37" s="66" t="s">
        <v>383</v>
      </c>
      <c r="C37" s="66" t="s">
        <v>383</v>
      </c>
      <c r="D37" s="58" t="s">
        <v>404</v>
      </c>
      <c r="E37" s="58" t="s">
        <v>385</v>
      </c>
      <c r="F37" s="58" t="s">
        <v>409</v>
      </c>
      <c r="G37" s="58" t="s">
        <v>385</v>
      </c>
      <c r="H37" s="10" t="s">
        <v>387</v>
      </c>
      <c r="I37" s="14" t="s">
        <v>458</v>
      </c>
      <c r="J37" s="128" t="s">
        <v>454</v>
      </c>
      <c r="K37" s="526"/>
      <c r="L37" s="526"/>
      <c r="M37" s="58"/>
      <c r="N37" s="570"/>
      <c r="O37" s="527"/>
      <c r="P37" s="524"/>
      <c r="Q37" s="560"/>
      <c r="R37" s="528"/>
      <c r="S37" s="18"/>
      <c r="T37" s="16"/>
      <c r="U37" s="18"/>
      <c r="V37" s="16"/>
      <c r="W37" s="18"/>
      <c r="X37" s="16"/>
      <c r="Y37" s="18"/>
      <c r="Z37" s="10"/>
      <c r="AA37" s="561"/>
      <c r="AB37" s="562"/>
      <c r="AC37" s="563"/>
      <c r="AD37" s="562"/>
      <c r="AE37" s="563"/>
      <c r="AF37" s="562"/>
      <c r="AG37" s="563"/>
      <c r="AH37" s="562"/>
      <c r="AI37" s="564"/>
      <c r="AJ37" s="565"/>
      <c r="AK37" s="566"/>
      <c r="AL37" s="565"/>
      <c r="AM37" s="565"/>
      <c r="AN37" s="565"/>
      <c r="AO37" s="565"/>
      <c r="AP37" s="565"/>
      <c r="AQ37" s="565"/>
      <c r="AR37" s="492"/>
      <c r="AS37" s="493"/>
      <c r="AT37" s="493"/>
      <c r="AU37" s="493"/>
      <c r="AV37" s="493"/>
      <c r="AW37" s="493"/>
      <c r="AX37" s="493"/>
      <c r="AY37" s="494"/>
      <c r="AZ37" s="96"/>
      <c r="BA37" s="9"/>
      <c r="BB37" s="9"/>
      <c r="BC37" s="126"/>
      <c r="BD37" s="126"/>
      <c r="BE37" s="126"/>
      <c r="BF37" s="129"/>
      <c r="BG37" s="129"/>
      <c r="BH37" s="129"/>
      <c r="BI37" s="129"/>
      <c r="BJ37" s="126"/>
      <c r="BK37" s="125"/>
      <c r="BL37" s="21"/>
      <c r="BM37" s="127"/>
      <c r="BN37" s="511"/>
      <c r="BO37" s="514"/>
      <c r="BP37" s="513"/>
      <c r="BQ37" s="107"/>
      <c r="BR37" s="108"/>
      <c r="BS37" s="488"/>
      <c r="BT37" s="489"/>
      <c r="BU37" s="490"/>
      <c r="BV37" s="491"/>
      <c r="BW37" s="488"/>
      <c r="BX37" s="490"/>
      <c r="BY37" s="490"/>
      <c r="BZ37" s="491"/>
      <c r="CA37" s="257"/>
      <c r="CB37" s="94"/>
      <c r="CC37" s="495"/>
      <c r="CD37" s="94"/>
      <c r="CE37" s="95"/>
      <c r="CF37" s="52"/>
    </row>
    <row r="38" spans="1:84" ht="30" customHeight="1" thickBot="1" x14ac:dyDescent="0.35">
      <c r="A38" s="60" t="str">
        <f t="shared" si="0"/>
        <v>Unitil</v>
      </c>
      <c r="B38" s="66" t="s">
        <v>383</v>
      </c>
      <c r="C38" s="66" t="s">
        <v>383</v>
      </c>
      <c r="D38" s="58" t="s">
        <v>404</v>
      </c>
      <c r="E38" s="58" t="s">
        <v>385</v>
      </c>
      <c r="F38" s="58" t="s">
        <v>410</v>
      </c>
      <c r="G38" s="58" t="s">
        <v>385</v>
      </c>
      <c r="H38" s="10" t="s">
        <v>387</v>
      </c>
      <c r="I38" s="14" t="s">
        <v>458</v>
      </c>
      <c r="J38" s="128" t="s">
        <v>454</v>
      </c>
      <c r="K38" s="526"/>
      <c r="L38" s="526"/>
      <c r="M38" s="58"/>
      <c r="N38" s="570"/>
      <c r="O38" s="527"/>
      <c r="P38" s="524"/>
      <c r="Q38" s="560"/>
      <c r="R38" s="528"/>
      <c r="S38" s="18"/>
      <c r="T38" s="16"/>
      <c r="U38" s="18"/>
      <c r="V38" s="16"/>
      <c r="W38" s="18"/>
      <c r="X38" s="16"/>
      <c r="Y38" s="18"/>
      <c r="Z38" s="10"/>
      <c r="AA38" s="561"/>
      <c r="AB38" s="562"/>
      <c r="AC38" s="563"/>
      <c r="AD38" s="562"/>
      <c r="AE38" s="563"/>
      <c r="AF38" s="562"/>
      <c r="AG38" s="563"/>
      <c r="AH38" s="562"/>
      <c r="AI38" s="564"/>
      <c r="AJ38" s="565"/>
      <c r="AK38" s="566"/>
      <c r="AL38" s="565"/>
      <c r="AM38" s="565"/>
      <c r="AN38" s="565"/>
      <c r="AO38" s="565"/>
      <c r="AP38" s="565"/>
      <c r="AQ38" s="565"/>
      <c r="AR38" s="492"/>
      <c r="AS38" s="493"/>
      <c r="AT38" s="493"/>
      <c r="AU38" s="493"/>
      <c r="AV38" s="493"/>
      <c r="AW38" s="493"/>
      <c r="AX38" s="493"/>
      <c r="AY38" s="494"/>
      <c r="AZ38" s="96"/>
      <c r="BA38" s="9"/>
      <c r="BB38" s="9"/>
      <c r="BC38" s="126"/>
      <c r="BD38" s="126"/>
      <c r="BE38" s="126"/>
      <c r="BF38" s="129"/>
      <c r="BG38" s="129"/>
      <c r="BH38" s="129"/>
      <c r="BI38" s="129"/>
      <c r="BJ38" s="126"/>
      <c r="BK38" s="125"/>
      <c r="BL38" s="21"/>
      <c r="BM38" s="127"/>
      <c r="BN38" s="511"/>
      <c r="BO38" s="514"/>
      <c r="BP38" s="513"/>
      <c r="BQ38" s="107"/>
      <c r="BR38" s="108"/>
      <c r="BS38" s="488"/>
      <c r="BT38" s="489"/>
      <c r="BU38" s="490"/>
      <c r="BV38" s="491"/>
      <c r="BW38" s="488"/>
      <c r="BX38" s="490"/>
      <c r="BY38" s="490"/>
      <c r="BZ38" s="491"/>
      <c r="CA38" s="257"/>
      <c r="CB38" s="94"/>
      <c r="CC38" s="495"/>
      <c r="CD38" s="94"/>
      <c r="CE38" s="95"/>
      <c r="CF38" s="52"/>
    </row>
    <row r="39" spans="1:84" ht="30" customHeight="1" thickBot="1" x14ac:dyDescent="0.35">
      <c r="A39" s="60" t="str">
        <f t="shared" si="0"/>
        <v>Unitil</v>
      </c>
      <c r="B39" s="66" t="s">
        <v>383</v>
      </c>
      <c r="C39" s="66" t="s">
        <v>383</v>
      </c>
      <c r="D39" s="58" t="s">
        <v>404</v>
      </c>
      <c r="E39" s="58" t="s">
        <v>385</v>
      </c>
      <c r="F39" s="58" t="s">
        <v>411</v>
      </c>
      <c r="G39" s="58" t="s">
        <v>385</v>
      </c>
      <c r="H39" s="10" t="s">
        <v>387</v>
      </c>
      <c r="I39" s="14" t="s">
        <v>458</v>
      </c>
      <c r="J39" s="128" t="s">
        <v>454</v>
      </c>
      <c r="K39" s="532"/>
      <c r="L39" s="526"/>
      <c r="M39" s="533"/>
      <c r="N39" s="570"/>
      <c r="O39" s="527"/>
      <c r="P39" s="524"/>
      <c r="Q39" s="560"/>
      <c r="R39" s="528"/>
      <c r="S39" s="18"/>
      <c r="T39" s="16"/>
      <c r="U39" s="18"/>
      <c r="V39" s="16"/>
      <c r="W39" s="18"/>
      <c r="X39" s="16"/>
      <c r="Y39" s="18"/>
      <c r="Z39" s="10"/>
      <c r="AA39" s="561"/>
      <c r="AB39" s="562"/>
      <c r="AC39" s="563"/>
      <c r="AD39" s="562"/>
      <c r="AE39" s="563"/>
      <c r="AF39" s="562"/>
      <c r="AG39" s="563"/>
      <c r="AH39" s="562"/>
      <c r="AI39" s="564"/>
      <c r="AJ39" s="565"/>
      <c r="AK39" s="566"/>
      <c r="AL39" s="565"/>
      <c r="AM39" s="565"/>
      <c r="AN39" s="565"/>
      <c r="AO39" s="565"/>
      <c r="AP39" s="565"/>
      <c r="AQ39" s="565"/>
      <c r="AR39" s="492"/>
      <c r="AS39" s="493"/>
      <c r="AT39" s="493"/>
      <c r="AU39" s="493"/>
      <c r="AV39" s="493"/>
      <c r="AW39" s="493"/>
      <c r="AX39" s="493"/>
      <c r="AY39" s="494"/>
      <c r="AZ39" s="96"/>
      <c r="BA39" s="9"/>
      <c r="BB39" s="9"/>
      <c r="BC39" s="126"/>
      <c r="BD39" s="126"/>
      <c r="BE39" s="126"/>
      <c r="BF39" s="129"/>
      <c r="BG39" s="129"/>
      <c r="BH39" s="129"/>
      <c r="BI39" s="129"/>
      <c r="BJ39" s="126"/>
      <c r="BK39" s="125"/>
      <c r="BL39" s="21"/>
      <c r="BM39" s="127"/>
      <c r="BN39" s="511"/>
      <c r="BO39" s="514"/>
      <c r="BP39" s="513"/>
      <c r="BQ39" s="107"/>
      <c r="BR39" s="108"/>
      <c r="BS39" s="488"/>
      <c r="BT39" s="489"/>
      <c r="BU39" s="490"/>
      <c r="BV39" s="491"/>
      <c r="BW39" s="488"/>
      <c r="BX39" s="490"/>
      <c r="BY39" s="490"/>
      <c r="BZ39" s="491"/>
      <c r="CA39" s="257"/>
      <c r="CB39" s="94"/>
      <c r="CC39" s="495"/>
      <c r="CD39" s="94"/>
      <c r="CE39" s="95"/>
      <c r="CF39" s="52"/>
    </row>
    <row r="40" spans="1:84" ht="30" customHeight="1" thickBot="1" x14ac:dyDescent="0.35">
      <c r="A40" s="60" t="str">
        <f t="shared" si="0"/>
        <v>Unitil</v>
      </c>
      <c r="B40" s="66" t="s">
        <v>383</v>
      </c>
      <c r="C40" s="66" t="s">
        <v>383</v>
      </c>
      <c r="D40" s="58" t="s">
        <v>404</v>
      </c>
      <c r="E40" s="58" t="s">
        <v>385</v>
      </c>
      <c r="F40" s="58" t="s">
        <v>412</v>
      </c>
      <c r="G40" s="58" t="s">
        <v>385</v>
      </c>
      <c r="H40" s="10" t="s">
        <v>387</v>
      </c>
      <c r="I40" s="14" t="s">
        <v>458</v>
      </c>
      <c r="J40" s="128" t="s">
        <v>454</v>
      </c>
      <c r="K40" s="526"/>
      <c r="L40" s="526"/>
      <c r="M40" s="58"/>
      <c r="N40" s="570"/>
      <c r="O40" s="527"/>
      <c r="P40" s="524"/>
      <c r="Q40" s="560"/>
      <c r="R40" s="528"/>
      <c r="S40" s="18"/>
      <c r="T40" s="16"/>
      <c r="U40" s="18"/>
      <c r="V40" s="16"/>
      <c r="W40" s="18"/>
      <c r="X40" s="16"/>
      <c r="Y40" s="18"/>
      <c r="Z40" s="10"/>
      <c r="AA40" s="561"/>
      <c r="AB40" s="562"/>
      <c r="AC40" s="563"/>
      <c r="AD40" s="562"/>
      <c r="AE40" s="563"/>
      <c r="AF40" s="562"/>
      <c r="AG40" s="563"/>
      <c r="AH40" s="562"/>
      <c r="AI40" s="564"/>
      <c r="AJ40" s="565"/>
      <c r="AK40" s="566"/>
      <c r="AL40" s="565"/>
      <c r="AM40" s="565"/>
      <c r="AN40" s="565"/>
      <c r="AO40" s="565"/>
      <c r="AP40" s="565"/>
      <c r="AQ40" s="565"/>
      <c r="AR40" s="492"/>
      <c r="AS40" s="493"/>
      <c r="AT40" s="493"/>
      <c r="AU40" s="493"/>
      <c r="AV40" s="493"/>
      <c r="AW40" s="493"/>
      <c r="AX40" s="493"/>
      <c r="AY40" s="494"/>
      <c r="AZ40" s="96"/>
      <c r="BA40" s="9"/>
      <c r="BB40" s="9"/>
      <c r="BC40" s="126"/>
      <c r="BD40" s="126"/>
      <c r="BE40" s="126"/>
      <c r="BF40" s="129"/>
      <c r="BG40" s="129"/>
      <c r="BH40" s="129"/>
      <c r="BI40" s="129"/>
      <c r="BJ40" s="126"/>
      <c r="BK40" s="125"/>
      <c r="BL40" s="21"/>
      <c r="BM40" s="127"/>
      <c r="BN40" s="511"/>
      <c r="BO40" s="514"/>
      <c r="BP40" s="513"/>
      <c r="BQ40" s="107"/>
      <c r="BR40" s="108"/>
      <c r="BS40" s="488"/>
      <c r="BT40" s="489"/>
      <c r="BU40" s="490"/>
      <c r="BV40" s="491"/>
      <c r="BW40" s="488"/>
      <c r="BX40" s="490"/>
      <c r="BY40" s="490"/>
      <c r="BZ40" s="491"/>
      <c r="CA40" s="257"/>
      <c r="CB40" s="94"/>
      <c r="CC40" s="495"/>
      <c r="CD40" s="94"/>
      <c r="CE40" s="95"/>
      <c r="CF40" s="52"/>
    </row>
    <row r="41" spans="1:84" ht="30" customHeight="1" x14ac:dyDescent="0.3">
      <c r="A41" s="60" t="str">
        <f t="shared" si="0"/>
        <v>Unitil</v>
      </c>
      <c r="B41" s="66" t="s">
        <v>383</v>
      </c>
      <c r="C41" s="66" t="s">
        <v>383</v>
      </c>
      <c r="D41" s="58" t="s">
        <v>404</v>
      </c>
      <c r="E41" s="58" t="s">
        <v>385</v>
      </c>
      <c r="F41" s="58" t="s">
        <v>413</v>
      </c>
      <c r="G41" s="58" t="s">
        <v>385</v>
      </c>
      <c r="H41" s="10" t="s">
        <v>387</v>
      </c>
      <c r="I41" s="14" t="s">
        <v>458</v>
      </c>
      <c r="J41" s="128" t="s">
        <v>460</v>
      </c>
      <c r="K41" s="526"/>
      <c r="L41" s="526"/>
      <c r="M41" s="58"/>
      <c r="N41" s="570"/>
      <c r="O41" s="527"/>
      <c r="P41" s="524"/>
      <c r="Q41" s="560"/>
      <c r="R41" s="528"/>
      <c r="S41" s="18"/>
      <c r="T41" s="16"/>
      <c r="U41" s="18"/>
      <c r="V41" s="16"/>
      <c r="W41" s="18"/>
      <c r="X41" s="16"/>
      <c r="Y41" s="18"/>
      <c r="Z41" s="10"/>
      <c r="AA41" s="561"/>
      <c r="AB41" s="562"/>
      <c r="AC41" s="563"/>
      <c r="AD41" s="562"/>
      <c r="AE41" s="563"/>
      <c r="AF41" s="562"/>
      <c r="AG41" s="563"/>
      <c r="AH41" s="562"/>
      <c r="AI41" s="564"/>
      <c r="AJ41" s="565"/>
      <c r="AK41" s="566"/>
      <c r="AL41" s="565"/>
      <c r="AM41" s="565"/>
      <c r="AN41" s="565"/>
      <c r="AO41" s="565"/>
      <c r="AP41" s="565"/>
      <c r="AQ41" s="565"/>
      <c r="AR41" s="492"/>
      <c r="AS41" s="493"/>
      <c r="AT41" s="493"/>
      <c r="AU41" s="493"/>
      <c r="AV41" s="493"/>
      <c r="AW41" s="493"/>
      <c r="AX41" s="493"/>
      <c r="AY41" s="494"/>
      <c r="AZ41" s="96"/>
      <c r="BA41" s="9"/>
      <c r="BB41" s="9"/>
      <c r="BC41" s="126"/>
      <c r="BD41" s="126"/>
      <c r="BE41" s="126"/>
      <c r="BF41" s="129"/>
      <c r="BG41" s="129"/>
      <c r="BH41" s="129"/>
      <c r="BI41" s="129"/>
      <c r="BJ41" s="126"/>
      <c r="BK41" s="125"/>
      <c r="BL41" s="21"/>
      <c r="BM41" s="127"/>
      <c r="BN41" s="511"/>
      <c r="BO41" s="514"/>
      <c r="BP41" s="513"/>
      <c r="BQ41" s="107"/>
      <c r="BR41" s="108"/>
      <c r="BS41" s="488"/>
      <c r="BT41" s="489"/>
      <c r="BU41" s="490"/>
      <c r="BV41" s="491"/>
      <c r="BW41" s="488"/>
      <c r="BX41" s="490"/>
      <c r="BY41" s="490"/>
      <c r="BZ41" s="491"/>
      <c r="CA41" s="257"/>
      <c r="CB41" s="94"/>
      <c r="CC41" s="495"/>
      <c r="CD41" s="94"/>
      <c r="CE41" s="95"/>
      <c r="CF41" s="52"/>
    </row>
    <row r="42" spans="1:84" ht="30" customHeight="1" thickBot="1" x14ac:dyDescent="0.35">
      <c r="A42" s="60" t="str">
        <f t="shared" si="0"/>
        <v>Unitil</v>
      </c>
      <c r="B42" s="66" t="s">
        <v>383</v>
      </c>
      <c r="C42" s="66" t="s">
        <v>383</v>
      </c>
      <c r="D42" s="58" t="s">
        <v>404</v>
      </c>
      <c r="E42" s="58" t="s">
        <v>385</v>
      </c>
      <c r="F42" s="496"/>
      <c r="G42" s="496"/>
      <c r="H42" s="497"/>
      <c r="I42" s="529"/>
      <c r="J42" s="496"/>
      <c r="K42" s="496"/>
      <c r="L42" s="496"/>
      <c r="M42" s="496"/>
      <c r="N42" s="567"/>
      <c r="O42" s="530"/>
      <c r="P42" s="568"/>
      <c r="Q42" s="510"/>
      <c r="R42" s="531"/>
      <c r="S42" s="569"/>
      <c r="T42" s="569"/>
      <c r="U42" s="569"/>
      <c r="V42" s="569"/>
      <c r="W42" s="569"/>
      <c r="X42" s="569"/>
      <c r="Y42" s="569"/>
      <c r="Z42" s="569"/>
      <c r="AA42" s="569"/>
      <c r="AB42" s="569"/>
      <c r="AC42" s="569"/>
      <c r="AD42" s="569"/>
      <c r="AE42" s="569"/>
      <c r="AF42" s="569"/>
      <c r="AG42" s="569"/>
      <c r="AH42" s="569"/>
      <c r="AI42" s="569"/>
      <c r="AJ42" s="569"/>
      <c r="AK42" s="497"/>
      <c r="AL42" s="569"/>
      <c r="AM42" s="497"/>
      <c r="AN42" s="569"/>
      <c r="AO42" s="497"/>
      <c r="AP42" s="569"/>
      <c r="AQ42" s="497"/>
      <c r="AR42" s="492"/>
      <c r="AS42" s="493"/>
      <c r="AT42" s="493"/>
      <c r="AU42" s="493"/>
      <c r="AV42" s="493"/>
      <c r="AW42" s="493"/>
      <c r="AX42" s="493"/>
      <c r="AY42" s="494"/>
      <c r="AZ42" s="96"/>
      <c r="BA42" s="9"/>
      <c r="BB42" s="9"/>
      <c r="BC42" s="126"/>
      <c r="BD42" s="126"/>
      <c r="BE42" s="126"/>
      <c r="BF42" s="129"/>
      <c r="BG42" s="129"/>
      <c r="BH42" s="129"/>
      <c r="BI42" s="129"/>
      <c r="BJ42" s="126"/>
      <c r="BK42" s="125"/>
      <c r="BL42" s="21"/>
      <c r="BM42" s="127"/>
      <c r="BN42" s="515"/>
      <c r="BO42" s="516"/>
      <c r="BP42" s="517"/>
      <c r="BQ42" s="107"/>
      <c r="BR42" s="108"/>
      <c r="BS42" s="488"/>
      <c r="BT42" s="489"/>
      <c r="BU42" s="490"/>
      <c r="BV42" s="491"/>
      <c r="BW42" s="488"/>
      <c r="BX42" s="490"/>
      <c r="BY42" s="490"/>
      <c r="BZ42" s="491"/>
      <c r="CA42" s="257"/>
      <c r="CB42" s="94"/>
      <c r="CC42" s="495"/>
      <c r="CD42" s="94"/>
      <c r="CE42" s="95"/>
      <c r="CF42" s="52"/>
    </row>
    <row r="43" spans="1:84" ht="30" customHeight="1" thickBot="1" x14ac:dyDescent="0.35">
      <c r="A43" s="60" t="str">
        <f t="shared" si="0"/>
        <v>Unitil</v>
      </c>
      <c r="B43" s="66" t="s">
        <v>383</v>
      </c>
      <c r="C43" s="66" t="s">
        <v>383</v>
      </c>
      <c r="D43" s="58" t="s">
        <v>414</v>
      </c>
      <c r="E43" s="58" t="s">
        <v>385</v>
      </c>
      <c r="F43" s="58" t="s">
        <v>415</v>
      </c>
      <c r="G43" s="58" t="s">
        <v>385</v>
      </c>
      <c r="H43" s="10" t="s">
        <v>387</v>
      </c>
      <c r="I43" s="14" t="s">
        <v>453</v>
      </c>
      <c r="J43" s="128" t="s">
        <v>454</v>
      </c>
      <c r="K43" s="526"/>
      <c r="L43" s="526"/>
      <c r="M43" s="58"/>
      <c r="N43" s="559"/>
      <c r="O43" s="527"/>
      <c r="P43" s="524"/>
      <c r="Q43" s="560"/>
      <c r="R43" s="528"/>
      <c r="S43" s="18"/>
      <c r="T43" s="16"/>
      <c r="U43" s="18"/>
      <c r="V43" s="16"/>
      <c r="W43" s="18"/>
      <c r="X43" s="16"/>
      <c r="Y43" s="18"/>
      <c r="Z43" s="10"/>
      <c r="AA43" s="561"/>
      <c r="AB43" s="562"/>
      <c r="AC43" s="563"/>
      <c r="AD43" s="562"/>
      <c r="AE43" s="563"/>
      <c r="AF43" s="562"/>
      <c r="AG43" s="563"/>
      <c r="AH43" s="562"/>
      <c r="AI43" s="564"/>
      <c r="AJ43" s="565"/>
      <c r="AK43" s="566"/>
      <c r="AL43" s="565"/>
      <c r="AM43" s="565"/>
      <c r="AN43" s="565"/>
      <c r="AO43" s="565"/>
      <c r="AP43" s="565"/>
      <c r="AQ43" s="565"/>
      <c r="AR43" s="492"/>
      <c r="AS43" s="493"/>
      <c r="AT43" s="493"/>
      <c r="AU43" s="493"/>
      <c r="AV43" s="493"/>
      <c r="AW43" s="493"/>
      <c r="AX43" s="493"/>
      <c r="AY43" s="494"/>
      <c r="AZ43" s="96"/>
      <c r="BA43" s="9"/>
      <c r="BB43" s="9"/>
      <c r="BC43" s="126"/>
      <c r="BD43" s="126"/>
      <c r="BE43" s="126"/>
      <c r="BF43" s="129"/>
      <c r="BG43" s="129"/>
      <c r="BH43" s="129"/>
      <c r="BI43" s="129"/>
      <c r="BJ43" s="126"/>
      <c r="BK43" s="125"/>
      <c r="BL43" s="21"/>
      <c r="BM43" s="127"/>
      <c r="BN43" s="511"/>
      <c r="BO43" s="514"/>
      <c r="BP43" s="513"/>
      <c r="BQ43" s="107"/>
      <c r="BR43" s="108"/>
      <c r="BS43" s="488"/>
      <c r="BT43" s="489"/>
      <c r="BU43" s="490"/>
      <c r="BV43" s="491"/>
      <c r="BW43" s="488"/>
      <c r="BX43" s="490"/>
      <c r="BY43" s="490"/>
      <c r="BZ43" s="491"/>
      <c r="CA43" s="257"/>
      <c r="CB43" s="94"/>
      <c r="CC43" s="495"/>
      <c r="CD43" s="94"/>
      <c r="CE43" s="95"/>
      <c r="CF43" s="52"/>
    </row>
    <row r="44" spans="1:84" ht="30" customHeight="1" thickBot="1" x14ac:dyDescent="0.35">
      <c r="A44" s="60" t="str">
        <f t="shared" si="0"/>
        <v>Unitil</v>
      </c>
      <c r="B44" s="66" t="s">
        <v>383</v>
      </c>
      <c r="C44" s="66" t="s">
        <v>383</v>
      </c>
      <c r="D44" s="58" t="s">
        <v>414</v>
      </c>
      <c r="E44" s="58" t="s">
        <v>385</v>
      </c>
      <c r="F44" s="58" t="s">
        <v>416</v>
      </c>
      <c r="G44" s="58" t="s">
        <v>385</v>
      </c>
      <c r="H44" s="10" t="s">
        <v>387</v>
      </c>
      <c r="I44" s="14" t="s">
        <v>453</v>
      </c>
      <c r="J44" s="128" t="s">
        <v>454</v>
      </c>
      <c r="K44" s="526"/>
      <c r="L44" s="526"/>
      <c r="M44" s="58"/>
      <c r="N44" s="559"/>
      <c r="O44" s="527"/>
      <c r="P44" s="524"/>
      <c r="Q44" s="560"/>
      <c r="R44" s="528"/>
      <c r="S44" s="18"/>
      <c r="T44" s="16"/>
      <c r="U44" s="18"/>
      <c r="V44" s="16"/>
      <c r="W44" s="18"/>
      <c r="X44" s="16"/>
      <c r="Y44" s="18"/>
      <c r="Z44" s="10"/>
      <c r="AA44" s="561"/>
      <c r="AB44" s="562"/>
      <c r="AC44" s="563"/>
      <c r="AD44" s="562"/>
      <c r="AE44" s="563"/>
      <c r="AF44" s="562"/>
      <c r="AG44" s="563"/>
      <c r="AH44" s="562"/>
      <c r="AI44" s="564"/>
      <c r="AJ44" s="565"/>
      <c r="AK44" s="566"/>
      <c r="AL44" s="565"/>
      <c r="AM44" s="565"/>
      <c r="AN44" s="565"/>
      <c r="AO44" s="565"/>
      <c r="AP44" s="565"/>
      <c r="AQ44" s="565"/>
      <c r="AR44" s="492"/>
      <c r="AS44" s="493"/>
      <c r="AT44" s="493"/>
      <c r="AU44" s="493"/>
      <c r="AV44" s="493"/>
      <c r="AW44" s="493"/>
      <c r="AX44" s="493"/>
      <c r="AY44" s="494"/>
      <c r="AZ44" s="96"/>
      <c r="BA44" s="9"/>
      <c r="BB44" s="9"/>
      <c r="BC44" s="126"/>
      <c r="BD44" s="126"/>
      <c r="BE44" s="126"/>
      <c r="BF44" s="129"/>
      <c r="BG44" s="129"/>
      <c r="BH44" s="129"/>
      <c r="BI44" s="129"/>
      <c r="BJ44" s="126"/>
      <c r="BK44" s="125"/>
      <c r="BL44" s="21"/>
      <c r="BM44" s="127"/>
      <c r="BN44" s="511"/>
      <c r="BO44" s="514"/>
      <c r="BP44" s="513"/>
      <c r="BQ44" s="107"/>
      <c r="BR44" s="108"/>
      <c r="BS44" s="488"/>
      <c r="BT44" s="489"/>
      <c r="BU44" s="490"/>
      <c r="BV44" s="491"/>
      <c r="BW44" s="488"/>
      <c r="BX44" s="490"/>
      <c r="BY44" s="490"/>
      <c r="BZ44" s="491"/>
      <c r="CA44" s="257"/>
      <c r="CB44" s="94"/>
      <c r="CC44" s="495"/>
      <c r="CD44" s="94"/>
      <c r="CE44" s="95"/>
      <c r="CF44" s="52"/>
    </row>
    <row r="45" spans="1:84" ht="30" customHeight="1" x14ac:dyDescent="0.3">
      <c r="A45" s="60" t="str">
        <f t="shared" si="0"/>
        <v>Unitil</v>
      </c>
      <c r="B45" s="66" t="s">
        <v>383</v>
      </c>
      <c r="C45" s="66" t="s">
        <v>383</v>
      </c>
      <c r="D45" s="58" t="s">
        <v>414</v>
      </c>
      <c r="E45" s="58" t="s">
        <v>385</v>
      </c>
      <c r="F45" s="58" t="s">
        <v>417</v>
      </c>
      <c r="G45" s="58" t="s">
        <v>385</v>
      </c>
      <c r="H45" s="10" t="s">
        <v>387</v>
      </c>
      <c r="I45" s="14" t="s">
        <v>453</v>
      </c>
      <c r="J45" s="128" t="s">
        <v>454</v>
      </c>
      <c r="K45" s="526"/>
      <c r="L45" s="526"/>
      <c r="M45" s="58"/>
      <c r="N45" s="527"/>
      <c r="O45" s="527"/>
      <c r="P45" s="524"/>
      <c r="Q45" s="560"/>
      <c r="R45" s="528"/>
      <c r="S45" s="18"/>
      <c r="T45" s="16"/>
      <c r="U45" s="18"/>
      <c r="V45" s="16"/>
      <c r="W45" s="18"/>
      <c r="X45" s="16"/>
      <c r="Y45" s="18"/>
      <c r="Z45" s="10"/>
      <c r="AA45" s="561"/>
      <c r="AB45" s="562"/>
      <c r="AC45" s="563"/>
      <c r="AD45" s="562"/>
      <c r="AE45" s="563"/>
      <c r="AF45" s="562"/>
      <c r="AG45" s="563"/>
      <c r="AH45" s="562"/>
      <c r="AI45" s="564"/>
      <c r="AJ45" s="565"/>
      <c r="AK45" s="566"/>
      <c r="AL45" s="565"/>
      <c r="AM45" s="565"/>
      <c r="AN45" s="565"/>
      <c r="AO45" s="565"/>
      <c r="AP45" s="565"/>
      <c r="AQ45" s="565"/>
      <c r="AR45" s="492"/>
      <c r="AS45" s="493"/>
      <c r="AT45" s="493"/>
      <c r="AU45" s="493"/>
      <c r="AV45" s="493"/>
      <c r="AW45" s="493"/>
      <c r="AX45" s="493"/>
      <c r="AY45" s="494"/>
      <c r="AZ45" s="96"/>
      <c r="BA45" s="9"/>
      <c r="BB45" s="9"/>
      <c r="BC45" s="126"/>
      <c r="BD45" s="126"/>
      <c r="BE45" s="126"/>
      <c r="BF45" s="129"/>
      <c r="BG45" s="129"/>
      <c r="BH45" s="129"/>
      <c r="BI45" s="129"/>
      <c r="BJ45" s="126"/>
      <c r="BK45" s="125"/>
      <c r="BL45" s="21"/>
      <c r="BM45" s="127"/>
      <c r="BN45" s="511"/>
      <c r="BO45" s="514"/>
      <c r="BP45" s="513"/>
      <c r="BQ45" s="107"/>
      <c r="BR45" s="108"/>
      <c r="BS45" s="488"/>
      <c r="BT45" s="489"/>
      <c r="BU45" s="490"/>
      <c r="BV45" s="491"/>
      <c r="BW45" s="488"/>
      <c r="BX45" s="490"/>
      <c r="BY45" s="490"/>
      <c r="BZ45" s="491"/>
      <c r="CA45" s="257"/>
      <c r="CB45" s="94"/>
      <c r="CC45" s="495"/>
      <c r="CD45" s="94"/>
      <c r="CE45" s="95"/>
      <c r="CF45" s="52"/>
    </row>
    <row r="46" spans="1:84" ht="30" customHeight="1" thickBot="1" x14ac:dyDescent="0.35">
      <c r="A46" s="60" t="str">
        <f t="shared" si="0"/>
        <v>Unitil</v>
      </c>
      <c r="B46" s="66" t="s">
        <v>383</v>
      </c>
      <c r="C46" s="66" t="s">
        <v>383</v>
      </c>
      <c r="D46" s="58" t="s">
        <v>414</v>
      </c>
      <c r="E46" s="58" t="s">
        <v>385</v>
      </c>
      <c r="F46" s="496"/>
      <c r="G46" s="496"/>
      <c r="H46" s="497"/>
      <c r="I46" s="529"/>
      <c r="J46" s="496"/>
      <c r="K46" s="496"/>
      <c r="L46" s="496"/>
      <c r="M46" s="496"/>
      <c r="N46" s="567"/>
      <c r="O46" s="530"/>
      <c r="P46" s="568"/>
      <c r="Q46" s="510"/>
      <c r="R46" s="531"/>
      <c r="S46" s="569"/>
      <c r="T46" s="569"/>
      <c r="U46" s="569"/>
      <c r="V46" s="569"/>
      <c r="W46" s="569"/>
      <c r="X46" s="569"/>
      <c r="Y46" s="569"/>
      <c r="Z46" s="569"/>
      <c r="AA46" s="569"/>
      <c r="AB46" s="569"/>
      <c r="AC46" s="569"/>
      <c r="AD46" s="569"/>
      <c r="AE46" s="569"/>
      <c r="AF46" s="569"/>
      <c r="AG46" s="569"/>
      <c r="AH46" s="569"/>
      <c r="AI46" s="569"/>
      <c r="AJ46" s="569"/>
      <c r="AK46" s="497"/>
      <c r="AL46" s="569"/>
      <c r="AM46" s="497"/>
      <c r="AN46" s="569"/>
      <c r="AO46" s="497"/>
      <c r="AP46" s="569"/>
      <c r="AQ46" s="497"/>
      <c r="AR46" s="492"/>
      <c r="AS46" s="493"/>
      <c r="AT46" s="493"/>
      <c r="AU46" s="493"/>
      <c r="AV46" s="493"/>
      <c r="AW46" s="493"/>
      <c r="AX46" s="493"/>
      <c r="AY46" s="494"/>
      <c r="AZ46" s="96"/>
      <c r="BA46" s="9"/>
      <c r="BB46" s="9"/>
      <c r="BC46" s="126"/>
      <c r="BD46" s="126"/>
      <c r="BE46" s="126"/>
      <c r="BF46" s="129"/>
      <c r="BG46" s="129"/>
      <c r="BH46" s="129"/>
      <c r="BI46" s="129"/>
      <c r="BJ46" s="126"/>
      <c r="BK46" s="125"/>
      <c r="BL46" s="21"/>
      <c r="BM46" s="127"/>
      <c r="BN46" s="515"/>
      <c r="BO46" s="516"/>
      <c r="BP46" s="517"/>
      <c r="BQ46" s="107"/>
      <c r="BR46" s="108"/>
      <c r="BS46" s="488"/>
      <c r="BT46" s="489"/>
      <c r="BU46" s="490"/>
      <c r="BV46" s="491"/>
      <c r="BW46" s="488"/>
      <c r="BX46" s="490"/>
      <c r="BY46" s="490"/>
      <c r="BZ46" s="491"/>
      <c r="CA46" s="257"/>
      <c r="CB46" s="94"/>
      <c r="CC46" s="495"/>
      <c r="CD46" s="94"/>
      <c r="CE46" s="95"/>
      <c r="CF46" s="52"/>
    </row>
    <row r="47" spans="1:84" ht="30" customHeight="1" thickBot="1" x14ac:dyDescent="0.35">
      <c r="A47" s="60" t="str">
        <f t="shared" si="0"/>
        <v>Unitil</v>
      </c>
      <c r="B47" s="66" t="s">
        <v>383</v>
      </c>
      <c r="C47" s="66" t="s">
        <v>383</v>
      </c>
      <c r="D47" s="58" t="s">
        <v>418</v>
      </c>
      <c r="E47" s="58" t="s">
        <v>418</v>
      </c>
      <c r="F47" s="58" t="s">
        <v>419</v>
      </c>
      <c r="G47" s="58" t="s">
        <v>418</v>
      </c>
      <c r="H47" s="10" t="s">
        <v>387</v>
      </c>
      <c r="I47" s="14" t="s">
        <v>453</v>
      </c>
      <c r="J47" s="128" t="s">
        <v>454</v>
      </c>
      <c r="K47" s="526"/>
      <c r="L47" s="526"/>
      <c r="M47" s="58"/>
      <c r="N47" s="559"/>
      <c r="O47" s="527"/>
      <c r="P47" s="524"/>
      <c r="Q47" s="560"/>
      <c r="R47" s="528"/>
      <c r="S47" s="18"/>
      <c r="T47" s="16"/>
      <c r="U47" s="18"/>
      <c r="V47" s="16"/>
      <c r="W47" s="18"/>
      <c r="X47" s="16"/>
      <c r="Y47" s="18"/>
      <c r="Z47" s="10"/>
      <c r="AA47" s="561"/>
      <c r="AB47" s="562"/>
      <c r="AC47" s="563"/>
      <c r="AD47" s="562"/>
      <c r="AE47" s="563"/>
      <c r="AF47" s="562"/>
      <c r="AG47" s="563"/>
      <c r="AH47" s="562"/>
      <c r="AI47" s="564"/>
      <c r="AJ47" s="565"/>
      <c r="AK47" s="566"/>
      <c r="AL47" s="565"/>
      <c r="AM47" s="565"/>
      <c r="AN47" s="565"/>
      <c r="AO47" s="565"/>
      <c r="AP47" s="565"/>
      <c r="AQ47" s="565"/>
      <c r="AR47" s="492"/>
      <c r="AS47" s="493"/>
      <c r="AT47" s="493"/>
      <c r="AU47" s="493"/>
      <c r="AV47" s="493"/>
      <c r="AW47" s="493"/>
      <c r="AX47" s="493"/>
      <c r="AY47" s="494"/>
      <c r="AZ47" s="96"/>
      <c r="BA47" s="9"/>
      <c r="BB47" s="9"/>
      <c r="BC47" s="126"/>
      <c r="BD47" s="126"/>
      <c r="BE47" s="126"/>
      <c r="BF47" s="129"/>
      <c r="BG47" s="129"/>
      <c r="BH47" s="129"/>
      <c r="BI47" s="129"/>
      <c r="BJ47" s="126"/>
      <c r="BK47" s="125"/>
      <c r="BL47" s="21"/>
      <c r="BM47" s="127"/>
      <c r="BN47" s="511"/>
      <c r="BO47" s="514"/>
      <c r="BP47" s="513"/>
      <c r="BQ47" s="107"/>
      <c r="BR47" s="108"/>
      <c r="BS47" s="488"/>
      <c r="BT47" s="489"/>
      <c r="BU47" s="490"/>
      <c r="BV47" s="491"/>
      <c r="BW47" s="488"/>
      <c r="BX47" s="490"/>
      <c r="BY47" s="490"/>
      <c r="BZ47" s="491"/>
      <c r="CA47" s="257"/>
      <c r="CB47" s="94"/>
      <c r="CC47" s="495"/>
      <c r="CD47" s="94"/>
      <c r="CE47" s="95"/>
      <c r="CF47" s="52"/>
    </row>
    <row r="48" spans="1:84" ht="30" customHeight="1" x14ac:dyDescent="0.3">
      <c r="A48" s="60" t="str">
        <f t="shared" si="0"/>
        <v>Unitil</v>
      </c>
      <c r="B48" s="66" t="s">
        <v>383</v>
      </c>
      <c r="C48" s="66" t="s">
        <v>383</v>
      </c>
      <c r="D48" s="58" t="s">
        <v>418</v>
      </c>
      <c r="E48" s="58" t="s">
        <v>418</v>
      </c>
      <c r="F48" s="58" t="s">
        <v>420</v>
      </c>
      <c r="G48" s="58" t="s">
        <v>421</v>
      </c>
      <c r="H48" s="10" t="s">
        <v>387</v>
      </c>
      <c r="I48" s="14" t="s">
        <v>453</v>
      </c>
      <c r="J48" s="128" t="s">
        <v>454</v>
      </c>
      <c r="K48" s="526"/>
      <c r="L48" s="526"/>
      <c r="M48" s="58"/>
      <c r="N48" s="559"/>
      <c r="O48" s="527"/>
      <c r="P48" s="524"/>
      <c r="Q48" s="560"/>
      <c r="R48" s="528"/>
      <c r="S48" s="18"/>
      <c r="T48" s="16"/>
      <c r="U48" s="18"/>
      <c r="V48" s="16"/>
      <c r="W48" s="18"/>
      <c r="X48" s="16"/>
      <c r="Y48" s="18"/>
      <c r="Z48" s="10"/>
      <c r="AA48" s="561"/>
      <c r="AB48" s="562"/>
      <c r="AC48" s="563"/>
      <c r="AD48" s="562"/>
      <c r="AE48" s="563"/>
      <c r="AF48" s="562"/>
      <c r="AG48" s="563"/>
      <c r="AH48" s="562"/>
      <c r="AI48" s="564"/>
      <c r="AJ48" s="565"/>
      <c r="AK48" s="566"/>
      <c r="AL48" s="565"/>
      <c r="AM48" s="565"/>
      <c r="AN48" s="565"/>
      <c r="AO48" s="565"/>
      <c r="AP48" s="565"/>
      <c r="AQ48" s="565"/>
      <c r="AR48" s="492"/>
      <c r="AS48" s="493"/>
      <c r="AT48" s="493"/>
      <c r="AU48" s="493"/>
      <c r="AV48" s="493"/>
      <c r="AW48" s="493"/>
      <c r="AX48" s="493"/>
      <c r="AY48" s="494"/>
      <c r="AZ48" s="96"/>
      <c r="BA48" s="9"/>
      <c r="BB48" s="9"/>
      <c r="BC48" s="126"/>
      <c r="BD48" s="126"/>
      <c r="BE48" s="126"/>
      <c r="BF48" s="129"/>
      <c r="BG48" s="129"/>
      <c r="BH48" s="129"/>
      <c r="BI48" s="129"/>
      <c r="BJ48" s="126"/>
      <c r="BK48" s="125"/>
      <c r="BL48" s="21"/>
      <c r="BM48" s="127"/>
      <c r="BN48" s="511"/>
      <c r="BO48" s="514"/>
      <c r="BP48" s="513"/>
      <c r="BQ48" s="107"/>
      <c r="BR48" s="108"/>
      <c r="BS48" s="488"/>
      <c r="BT48" s="489"/>
      <c r="BU48" s="490"/>
      <c r="BV48" s="491"/>
      <c r="BW48" s="488"/>
      <c r="BX48" s="490"/>
      <c r="BY48" s="490"/>
      <c r="BZ48" s="491"/>
      <c r="CA48" s="257"/>
      <c r="CB48" s="94"/>
      <c r="CC48" s="495"/>
      <c r="CD48" s="94"/>
      <c r="CE48" s="95"/>
      <c r="CF48" s="52"/>
    </row>
    <row r="49" spans="1:84" ht="30" customHeight="1" thickBot="1" x14ac:dyDescent="0.35">
      <c r="A49" s="60" t="str">
        <f t="shared" si="0"/>
        <v>Unitil</v>
      </c>
      <c r="B49" s="66" t="s">
        <v>383</v>
      </c>
      <c r="C49" s="66" t="s">
        <v>383</v>
      </c>
      <c r="D49" s="58" t="s">
        <v>418</v>
      </c>
      <c r="E49" s="58" t="s">
        <v>418</v>
      </c>
      <c r="F49" s="496"/>
      <c r="G49" s="496"/>
      <c r="H49" s="497"/>
      <c r="I49" s="529"/>
      <c r="J49" s="496"/>
      <c r="K49" s="496"/>
      <c r="L49" s="496"/>
      <c r="M49" s="496"/>
      <c r="N49" s="567"/>
      <c r="O49" s="530"/>
      <c r="P49" s="568"/>
      <c r="Q49" s="510"/>
      <c r="R49" s="531"/>
      <c r="S49" s="569"/>
      <c r="T49" s="569"/>
      <c r="U49" s="569"/>
      <c r="V49" s="569"/>
      <c r="W49" s="569"/>
      <c r="X49" s="569"/>
      <c r="Y49" s="569"/>
      <c r="Z49" s="569"/>
      <c r="AA49" s="569"/>
      <c r="AB49" s="569"/>
      <c r="AC49" s="569"/>
      <c r="AD49" s="569"/>
      <c r="AE49" s="569"/>
      <c r="AF49" s="569"/>
      <c r="AG49" s="569"/>
      <c r="AH49" s="569"/>
      <c r="AI49" s="569"/>
      <c r="AJ49" s="569"/>
      <c r="AK49" s="497"/>
      <c r="AL49" s="569"/>
      <c r="AM49" s="497"/>
      <c r="AN49" s="569"/>
      <c r="AO49" s="497"/>
      <c r="AP49" s="569"/>
      <c r="AQ49" s="497"/>
      <c r="AR49" s="492"/>
      <c r="AS49" s="493"/>
      <c r="AT49" s="493"/>
      <c r="AU49" s="493"/>
      <c r="AV49" s="493"/>
      <c r="AW49" s="493"/>
      <c r="AX49" s="493"/>
      <c r="AY49" s="494"/>
      <c r="AZ49" s="96"/>
      <c r="BA49" s="9"/>
      <c r="BB49" s="9"/>
      <c r="BC49" s="126"/>
      <c r="BD49" s="126"/>
      <c r="BE49" s="126"/>
      <c r="BF49" s="129"/>
      <c r="BG49" s="129"/>
      <c r="BH49" s="129"/>
      <c r="BI49" s="129"/>
      <c r="BJ49" s="126"/>
      <c r="BK49" s="125"/>
      <c r="BL49" s="21"/>
      <c r="BM49" s="127"/>
      <c r="BN49" s="515"/>
      <c r="BO49" s="516"/>
      <c r="BP49" s="517"/>
      <c r="BQ49" s="107"/>
      <c r="BR49" s="108"/>
      <c r="BS49" s="488"/>
      <c r="BT49" s="489"/>
      <c r="BU49" s="490"/>
      <c r="BV49" s="491"/>
      <c r="BW49" s="488"/>
      <c r="BX49" s="490"/>
      <c r="BY49" s="490"/>
      <c r="BZ49" s="491"/>
      <c r="CA49" s="257"/>
      <c r="CB49" s="94"/>
      <c r="CC49" s="495"/>
      <c r="CD49" s="94"/>
      <c r="CE49" s="95"/>
      <c r="CF49" s="52"/>
    </row>
    <row r="50" spans="1:84" ht="30" customHeight="1" thickBot="1" x14ac:dyDescent="0.35">
      <c r="A50" s="60" t="str">
        <f t="shared" si="0"/>
        <v>Unitil</v>
      </c>
      <c r="B50" s="66" t="s">
        <v>383</v>
      </c>
      <c r="C50" s="66" t="s">
        <v>383</v>
      </c>
      <c r="D50" s="58" t="s">
        <v>422</v>
      </c>
      <c r="E50" s="58" t="s">
        <v>418</v>
      </c>
      <c r="F50" s="58" t="s">
        <v>423</v>
      </c>
      <c r="G50" s="58" t="s">
        <v>424</v>
      </c>
      <c r="H50" s="10" t="s">
        <v>387</v>
      </c>
      <c r="I50" s="14" t="s">
        <v>453</v>
      </c>
      <c r="J50" s="128" t="s">
        <v>454</v>
      </c>
      <c r="K50" s="526"/>
      <c r="L50" s="526"/>
      <c r="M50" s="58"/>
      <c r="N50" s="559"/>
      <c r="O50" s="527"/>
      <c r="P50" s="524"/>
      <c r="Q50" s="560"/>
      <c r="R50" s="528"/>
      <c r="S50" s="18"/>
      <c r="T50" s="16"/>
      <c r="U50" s="18"/>
      <c r="V50" s="16"/>
      <c r="W50" s="18"/>
      <c r="X50" s="16"/>
      <c r="Y50" s="18"/>
      <c r="Z50" s="10"/>
      <c r="AA50" s="561"/>
      <c r="AB50" s="562"/>
      <c r="AC50" s="563"/>
      <c r="AD50" s="562"/>
      <c r="AE50" s="563"/>
      <c r="AF50" s="562"/>
      <c r="AG50" s="563"/>
      <c r="AH50" s="562"/>
      <c r="AI50" s="564"/>
      <c r="AJ50" s="565"/>
      <c r="AK50" s="566"/>
      <c r="AL50" s="565"/>
      <c r="AM50" s="565"/>
      <c r="AN50" s="565"/>
      <c r="AO50" s="565"/>
      <c r="AP50" s="565"/>
      <c r="AQ50" s="565"/>
      <c r="AR50" s="492"/>
      <c r="AS50" s="493"/>
      <c r="AT50" s="493"/>
      <c r="AU50" s="493"/>
      <c r="AV50" s="493"/>
      <c r="AW50" s="493"/>
      <c r="AX50" s="493"/>
      <c r="AY50" s="494"/>
      <c r="AZ50" s="96"/>
      <c r="BA50" s="9"/>
      <c r="BB50" s="9"/>
      <c r="BC50" s="126"/>
      <c r="BD50" s="126"/>
      <c r="BE50" s="126"/>
      <c r="BF50" s="129"/>
      <c r="BG50" s="129"/>
      <c r="BH50" s="129"/>
      <c r="BI50" s="129"/>
      <c r="BJ50" s="126"/>
      <c r="BK50" s="125"/>
      <c r="BL50" s="21"/>
      <c r="BM50" s="127"/>
      <c r="BN50" s="511"/>
      <c r="BO50" s="514"/>
      <c r="BP50" s="513"/>
      <c r="BQ50" s="107"/>
      <c r="BR50" s="108"/>
      <c r="BS50" s="488"/>
      <c r="BT50" s="489"/>
      <c r="BU50" s="490"/>
      <c r="BV50" s="491"/>
      <c r="BW50" s="488"/>
      <c r="BX50" s="490"/>
      <c r="BY50" s="490"/>
      <c r="BZ50" s="491"/>
      <c r="CA50" s="257"/>
      <c r="CB50" s="94"/>
      <c r="CC50" s="495"/>
      <c r="CD50" s="94"/>
      <c r="CE50" s="95"/>
      <c r="CF50" s="52"/>
    </row>
    <row r="51" spans="1:84" ht="30" customHeight="1" thickBot="1" x14ac:dyDescent="0.35">
      <c r="A51" s="60" t="str">
        <f t="shared" si="0"/>
        <v>Unitil</v>
      </c>
      <c r="B51" s="66" t="s">
        <v>383</v>
      </c>
      <c r="C51" s="66" t="s">
        <v>383</v>
      </c>
      <c r="D51" s="58" t="s">
        <v>422</v>
      </c>
      <c r="E51" s="58" t="s">
        <v>418</v>
      </c>
      <c r="F51" s="58" t="s">
        <v>425</v>
      </c>
      <c r="G51" s="58" t="s">
        <v>424</v>
      </c>
      <c r="H51" s="10" t="s">
        <v>387</v>
      </c>
      <c r="I51" s="14" t="s">
        <v>453</v>
      </c>
      <c r="J51" s="128" t="s">
        <v>454</v>
      </c>
      <c r="K51" s="526"/>
      <c r="L51" s="526"/>
      <c r="M51" s="58"/>
      <c r="N51" s="559"/>
      <c r="O51" s="527"/>
      <c r="P51" s="524"/>
      <c r="Q51" s="560"/>
      <c r="R51" s="528"/>
      <c r="S51" s="18"/>
      <c r="T51" s="16"/>
      <c r="U51" s="18"/>
      <c r="V51" s="16"/>
      <c r="W51" s="18"/>
      <c r="X51" s="16"/>
      <c r="Y51" s="18"/>
      <c r="Z51" s="10"/>
      <c r="AA51" s="561"/>
      <c r="AB51" s="562"/>
      <c r="AC51" s="563"/>
      <c r="AD51" s="562"/>
      <c r="AE51" s="563"/>
      <c r="AF51" s="562"/>
      <c r="AG51" s="563"/>
      <c r="AH51" s="562"/>
      <c r="AI51" s="564"/>
      <c r="AJ51" s="565"/>
      <c r="AK51" s="566"/>
      <c r="AL51" s="565"/>
      <c r="AM51" s="565"/>
      <c r="AN51" s="565"/>
      <c r="AO51" s="565"/>
      <c r="AP51" s="565"/>
      <c r="AQ51" s="565"/>
      <c r="AR51" s="492"/>
      <c r="AS51" s="493"/>
      <c r="AT51" s="493"/>
      <c r="AU51" s="493"/>
      <c r="AV51" s="493"/>
      <c r="AW51" s="493"/>
      <c r="AX51" s="493"/>
      <c r="AY51" s="494"/>
      <c r="AZ51" s="96"/>
      <c r="BA51" s="9"/>
      <c r="BB51" s="9"/>
      <c r="BC51" s="126"/>
      <c r="BD51" s="126"/>
      <c r="BE51" s="126"/>
      <c r="BF51" s="129"/>
      <c r="BG51" s="129"/>
      <c r="BH51" s="129"/>
      <c r="BI51" s="129"/>
      <c r="BJ51" s="126"/>
      <c r="BK51" s="125"/>
      <c r="BL51" s="21"/>
      <c r="BM51" s="127"/>
      <c r="BN51" s="511"/>
      <c r="BO51" s="514"/>
      <c r="BP51" s="513"/>
      <c r="BQ51" s="107"/>
      <c r="BR51" s="108"/>
      <c r="BS51" s="488"/>
      <c r="BT51" s="489"/>
      <c r="BU51" s="490"/>
      <c r="BV51" s="491"/>
      <c r="BW51" s="488"/>
      <c r="BX51" s="490"/>
      <c r="BY51" s="490"/>
      <c r="BZ51" s="491"/>
      <c r="CA51" s="257"/>
      <c r="CB51" s="94"/>
      <c r="CC51" s="495"/>
      <c r="CD51" s="94"/>
      <c r="CE51" s="95"/>
      <c r="CF51" s="52"/>
    </row>
    <row r="52" spans="1:84" ht="30" customHeight="1" x14ac:dyDescent="0.3">
      <c r="A52" s="60" t="str">
        <f t="shared" si="0"/>
        <v>Unitil</v>
      </c>
      <c r="B52" s="66" t="s">
        <v>383</v>
      </c>
      <c r="C52" s="66" t="s">
        <v>383</v>
      </c>
      <c r="D52" s="58" t="s">
        <v>422</v>
      </c>
      <c r="E52" s="58" t="s">
        <v>418</v>
      </c>
      <c r="F52" s="58" t="s">
        <v>426</v>
      </c>
      <c r="G52" s="58" t="s">
        <v>418</v>
      </c>
      <c r="H52" s="10" t="s">
        <v>387</v>
      </c>
      <c r="I52" s="14" t="s">
        <v>453</v>
      </c>
      <c r="J52" s="128" t="s">
        <v>454</v>
      </c>
      <c r="K52" s="526"/>
      <c r="L52" s="526"/>
      <c r="M52" s="58"/>
      <c r="N52" s="559"/>
      <c r="O52" s="527"/>
      <c r="P52" s="524"/>
      <c r="Q52" s="560"/>
      <c r="R52" s="528"/>
      <c r="S52" s="18"/>
      <c r="T52" s="16"/>
      <c r="U52" s="18"/>
      <c r="V52" s="16"/>
      <c r="W52" s="18"/>
      <c r="X52" s="16"/>
      <c r="Y52" s="18"/>
      <c r="Z52" s="10"/>
      <c r="AA52" s="561"/>
      <c r="AB52" s="562"/>
      <c r="AC52" s="563"/>
      <c r="AD52" s="562"/>
      <c r="AE52" s="563"/>
      <c r="AF52" s="562"/>
      <c r="AG52" s="563"/>
      <c r="AH52" s="562"/>
      <c r="AI52" s="564"/>
      <c r="AJ52" s="565"/>
      <c r="AK52" s="566"/>
      <c r="AL52" s="565"/>
      <c r="AM52" s="565"/>
      <c r="AN52" s="565"/>
      <c r="AO52" s="565"/>
      <c r="AP52" s="565"/>
      <c r="AQ52" s="565"/>
      <c r="AR52" s="492"/>
      <c r="AS52" s="493"/>
      <c r="AT52" s="493"/>
      <c r="AU52" s="493"/>
      <c r="AV52" s="493"/>
      <c r="AW52" s="493"/>
      <c r="AX52" s="493"/>
      <c r="AY52" s="494"/>
      <c r="AZ52" s="96"/>
      <c r="BA52" s="9"/>
      <c r="BB52" s="9"/>
      <c r="BC52" s="126"/>
      <c r="BD52" s="126"/>
      <c r="BE52" s="126"/>
      <c r="BF52" s="129"/>
      <c r="BG52" s="129"/>
      <c r="BH52" s="129"/>
      <c r="BI52" s="129"/>
      <c r="BJ52" s="126"/>
      <c r="BK52" s="125"/>
      <c r="BL52" s="21"/>
      <c r="BM52" s="127"/>
      <c r="BN52" s="511"/>
      <c r="BO52" s="514"/>
      <c r="BP52" s="513"/>
      <c r="BQ52" s="107"/>
      <c r="BR52" s="108"/>
      <c r="BS52" s="488"/>
      <c r="BT52" s="489"/>
      <c r="BU52" s="490"/>
      <c r="BV52" s="491"/>
      <c r="BW52" s="488"/>
      <c r="BX52" s="490"/>
      <c r="BY52" s="490"/>
      <c r="BZ52" s="491"/>
      <c r="CA52" s="257"/>
      <c r="CB52" s="94"/>
      <c r="CC52" s="495"/>
      <c r="CD52" s="94"/>
      <c r="CE52" s="95"/>
      <c r="CF52" s="52"/>
    </row>
    <row r="53" spans="1:84" ht="30" customHeight="1" thickBot="1" x14ac:dyDescent="0.35">
      <c r="A53" s="60" t="str">
        <f t="shared" si="0"/>
        <v>Unitil</v>
      </c>
      <c r="B53" s="66" t="s">
        <v>383</v>
      </c>
      <c r="C53" s="66" t="s">
        <v>383</v>
      </c>
      <c r="D53" s="58" t="s">
        <v>422</v>
      </c>
      <c r="E53" s="58" t="s">
        <v>418</v>
      </c>
      <c r="F53" s="496"/>
      <c r="G53" s="496"/>
      <c r="H53" s="497"/>
      <c r="I53" s="529"/>
      <c r="J53" s="496"/>
      <c r="K53" s="496"/>
      <c r="L53" s="496"/>
      <c r="M53" s="496"/>
      <c r="N53" s="567"/>
      <c r="O53" s="530"/>
      <c r="P53" s="568"/>
      <c r="Q53" s="510"/>
      <c r="R53" s="531"/>
      <c r="S53" s="569"/>
      <c r="T53" s="569"/>
      <c r="U53" s="569"/>
      <c r="V53" s="569"/>
      <c r="W53" s="569"/>
      <c r="X53" s="569"/>
      <c r="Y53" s="569"/>
      <c r="Z53" s="569"/>
      <c r="AA53" s="569"/>
      <c r="AB53" s="569"/>
      <c r="AC53" s="569"/>
      <c r="AD53" s="569"/>
      <c r="AE53" s="569"/>
      <c r="AF53" s="569"/>
      <c r="AG53" s="569"/>
      <c r="AH53" s="569"/>
      <c r="AI53" s="569"/>
      <c r="AJ53" s="569"/>
      <c r="AK53" s="497"/>
      <c r="AL53" s="569"/>
      <c r="AM53" s="497"/>
      <c r="AN53" s="569"/>
      <c r="AO53" s="497"/>
      <c r="AP53" s="569"/>
      <c r="AQ53" s="497"/>
      <c r="AR53" s="492"/>
      <c r="AS53" s="493"/>
      <c r="AT53" s="493"/>
      <c r="AU53" s="493"/>
      <c r="AV53" s="493"/>
      <c r="AW53" s="493"/>
      <c r="AX53" s="493"/>
      <c r="AY53" s="494"/>
      <c r="AZ53" s="96"/>
      <c r="BA53" s="9"/>
      <c r="BB53" s="9"/>
      <c r="BC53" s="126"/>
      <c r="BD53" s="126"/>
      <c r="BE53" s="126"/>
      <c r="BF53" s="129"/>
      <c r="BG53" s="129"/>
      <c r="BH53" s="129"/>
      <c r="BI53" s="129"/>
      <c r="BJ53" s="126"/>
      <c r="BK53" s="125"/>
      <c r="BL53" s="21"/>
      <c r="BM53" s="127"/>
      <c r="BN53" s="515"/>
      <c r="BO53" s="516"/>
      <c r="BP53" s="517"/>
      <c r="BQ53" s="107"/>
      <c r="BR53" s="108"/>
      <c r="BS53" s="488"/>
      <c r="BT53" s="489"/>
      <c r="BU53" s="490"/>
      <c r="BV53" s="491"/>
      <c r="BW53" s="488"/>
      <c r="BX53" s="490"/>
      <c r="BY53" s="490"/>
      <c r="BZ53" s="491"/>
      <c r="CA53" s="257"/>
      <c r="CB53" s="94"/>
      <c r="CC53" s="495"/>
      <c r="CD53" s="94"/>
      <c r="CE53" s="95"/>
      <c r="CF53" s="52"/>
    </row>
    <row r="54" spans="1:84" ht="30" customHeight="1" x14ac:dyDescent="0.3">
      <c r="A54" s="60" t="str">
        <f t="shared" si="0"/>
        <v>Unitil</v>
      </c>
      <c r="B54" s="66" t="s">
        <v>383</v>
      </c>
      <c r="C54" s="66" t="s">
        <v>383</v>
      </c>
      <c r="D54" s="58" t="s">
        <v>427</v>
      </c>
      <c r="E54" s="58" t="s">
        <v>385</v>
      </c>
      <c r="F54" s="58" t="s">
        <v>428</v>
      </c>
      <c r="G54" s="58" t="s">
        <v>429</v>
      </c>
      <c r="H54" s="10" t="s">
        <v>387</v>
      </c>
      <c r="I54" s="14" t="s">
        <v>453</v>
      </c>
      <c r="J54" s="128" t="s">
        <v>454</v>
      </c>
      <c r="K54" s="526"/>
      <c r="L54" s="526"/>
      <c r="M54" s="58"/>
      <c r="N54" s="559"/>
      <c r="O54" s="527"/>
      <c r="P54" s="524"/>
      <c r="Q54" s="560"/>
      <c r="R54" s="528"/>
      <c r="S54" s="18"/>
      <c r="T54" s="16"/>
      <c r="U54" s="18"/>
      <c r="V54" s="16"/>
      <c r="W54" s="18"/>
      <c r="X54" s="16"/>
      <c r="Y54" s="18"/>
      <c r="Z54" s="10"/>
      <c r="AA54" s="561"/>
      <c r="AB54" s="562"/>
      <c r="AC54" s="563"/>
      <c r="AD54" s="562"/>
      <c r="AE54" s="563"/>
      <c r="AF54" s="562"/>
      <c r="AG54" s="563"/>
      <c r="AH54" s="562"/>
      <c r="AI54" s="564"/>
      <c r="AJ54" s="565"/>
      <c r="AK54" s="566"/>
      <c r="AL54" s="565"/>
      <c r="AM54" s="565"/>
      <c r="AN54" s="565"/>
      <c r="AO54" s="565"/>
      <c r="AP54" s="565"/>
      <c r="AQ54" s="565"/>
      <c r="AR54" s="492"/>
      <c r="AS54" s="493"/>
      <c r="AT54" s="493"/>
      <c r="AU54" s="493"/>
      <c r="AV54" s="493"/>
      <c r="AW54" s="493"/>
      <c r="AX54" s="493"/>
      <c r="AY54" s="494"/>
      <c r="AZ54" s="96"/>
      <c r="BA54" s="9"/>
      <c r="BB54" s="9"/>
      <c r="BC54" s="126"/>
      <c r="BD54" s="126"/>
      <c r="BE54" s="126"/>
      <c r="BF54" s="129"/>
      <c r="BG54" s="129"/>
      <c r="BH54" s="129"/>
      <c r="BI54" s="129"/>
      <c r="BJ54" s="126"/>
      <c r="BK54" s="125"/>
      <c r="BL54" s="21"/>
      <c r="BM54" s="127"/>
      <c r="BN54" s="511"/>
      <c r="BO54" s="514"/>
      <c r="BP54" s="513"/>
      <c r="BQ54" s="107"/>
      <c r="BR54" s="108"/>
      <c r="BS54" s="488"/>
      <c r="BT54" s="489"/>
      <c r="BU54" s="490"/>
      <c r="BV54" s="491"/>
      <c r="BW54" s="488"/>
      <c r="BX54" s="490"/>
      <c r="BY54" s="490"/>
      <c r="BZ54" s="491"/>
      <c r="CA54" s="257"/>
      <c r="CB54" s="94"/>
      <c r="CC54" s="495"/>
      <c r="CD54" s="94"/>
      <c r="CE54" s="95"/>
      <c r="CF54" s="52"/>
    </row>
    <row r="55" spans="1:84" ht="30" customHeight="1" thickBot="1" x14ac:dyDescent="0.35">
      <c r="A55" s="60" t="str">
        <f t="shared" si="0"/>
        <v>Unitil</v>
      </c>
      <c r="B55" s="66" t="s">
        <v>383</v>
      </c>
      <c r="C55" s="66" t="s">
        <v>383</v>
      </c>
      <c r="D55" s="58" t="s">
        <v>427</v>
      </c>
      <c r="E55" s="58" t="s">
        <v>385</v>
      </c>
      <c r="F55" s="496"/>
      <c r="G55" s="496"/>
      <c r="H55" s="497"/>
      <c r="I55" s="529"/>
      <c r="J55" s="496"/>
      <c r="K55" s="496"/>
      <c r="L55" s="496"/>
      <c r="M55" s="496"/>
      <c r="N55" s="567"/>
      <c r="O55" s="530"/>
      <c r="P55" s="568"/>
      <c r="Q55" s="510"/>
      <c r="R55" s="531"/>
      <c r="S55" s="569"/>
      <c r="T55" s="569"/>
      <c r="U55" s="569"/>
      <c r="V55" s="569"/>
      <c r="W55" s="569"/>
      <c r="X55" s="569"/>
      <c r="Y55" s="569"/>
      <c r="Z55" s="569"/>
      <c r="AA55" s="569"/>
      <c r="AB55" s="569"/>
      <c r="AC55" s="569"/>
      <c r="AD55" s="569"/>
      <c r="AE55" s="569"/>
      <c r="AF55" s="569"/>
      <c r="AG55" s="569"/>
      <c r="AH55" s="569"/>
      <c r="AI55" s="569"/>
      <c r="AJ55" s="569"/>
      <c r="AK55" s="497"/>
      <c r="AL55" s="569"/>
      <c r="AM55" s="497"/>
      <c r="AN55" s="569"/>
      <c r="AO55" s="497"/>
      <c r="AP55" s="569"/>
      <c r="AQ55" s="497"/>
      <c r="AR55" s="492"/>
      <c r="AS55" s="493"/>
      <c r="AT55" s="493"/>
      <c r="AU55" s="493"/>
      <c r="AV55" s="493"/>
      <c r="AW55" s="493"/>
      <c r="AX55" s="493"/>
      <c r="AY55" s="494"/>
      <c r="AZ55" s="96"/>
      <c r="BA55" s="9"/>
      <c r="BB55" s="9"/>
      <c r="BC55" s="126"/>
      <c r="BD55" s="126"/>
      <c r="BE55" s="126"/>
      <c r="BF55" s="129"/>
      <c r="BG55" s="129"/>
      <c r="BH55" s="129"/>
      <c r="BI55" s="129"/>
      <c r="BJ55" s="126"/>
      <c r="BK55" s="125"/>
      <c r="BL55" s="21"/>
      <c r="BM55" s="127"/>
      <c r="BN55" s="515"/>
      <c r="BO55" s="516"/>
      <c r="BP55" s="517"/>
      <c r="BQ55" s="107"/>
      <c r="BR55" s="108"/>
      <c r="BS55" s="488"/>
      <c r="BT55" s="489"/>
      <c r="BU55" s="490"/>
      <c r="BV55" s="491"/>
      <c r="BW55" s="488"/>
      <c r="BX55" s="490"/>
      <c r="BY55" s="490"/>
      <c r="BZ55" s="491"/>
      <c r="CA55" s="257"/>
      <c r="CB55" s="94"/>
      <c r="CC55" s="495"/>
      <c r="CD55" s="94"/>
      <c r="CE55" s="95"/>
      <c r="CF55" s="52"/>
    </row>
    <row r="56" spans="1:84" ht="30" customHeight="1" thickBot="1" x14ac:dyDescent="0.35">
      <c r="A56" s="60" t="str">
        <f t="shared" si="0"/>
        <v>Unitil</v>
      </c>
      <c r="B56" s="66" t="s">
        <v>383</v>
      </c>
      <c r="C56" s="66" t="s">
        <v>383</v>
      </c>
      <c r="D56" s="58" t="s">
        <v>430</v>
      </c>
      <c r="E56" s="58" t="s">
        <v>395</v>
      </c>
      <c r="F56" s="58" t="s">
        <v>431</v>
      </c>
      <c r="G56" s="58" t="s">
        <v>399</v>
      </c>
      <c r="H56" s="10" t="s">
        <v>387</v>
      </c>
      <c r="I56" s="14" t="s">
        <v>453</v>
      </c>
      <c r="J56" s="128" t="s">
        <v>454</v>
      </c>
      <c r="K56" s="526"/>
      <c r="L56" s="526"/>
      <c r="M56" s="58"/>
      <c r="N56" s="559"/>
      <c r="O56" s="527"/>
      <c r="P56" s="524"/>
      <c r="Q56" s="560"/>
      <c r="R56" s="528"/>
      <c r="S56" s="18"/>
      <c r="T56" s="16"/>
      <c r="U56" s="18"/>
      <c r="V56" s="16"/>
      <c r="W56" s="18"/>
      <c r="X56" s="16"/>
      <c r="Y56" s="18"/>
      <c r="Z56" s="10"/>
      <c r="AA56" s="561"/>
      <c r="AB56" s="562"/>
      <c r="AC56" s="563"/>
      <c r="AD56" s="562"/>
      <c r="AE56" s="563"/>
      <c r="AF56" s="562"/>
      <c r="AG56" s="563"/>
      <c r="AH56" s="562"/>
      <c r="AI56" s="564"/>
      <c r="AJ56" s="565"/>
      <c r="AK56" s="566"/>
      <c r="AL56" s="565"/>
      <c r="AM56" s="565"/>
      <c r="AN56" s="565"/>
      <c r="AO56" s="565"/>
      <c r="AP56" s="565"/>
      <c r="AQ56" s="565"/>
      <c r="AR56" s="492"/>
      <c r="AS56" s="493"/>
      <c r="AT56" s="493"/>
      <c r="AU56" s="493"/>
      <c r="AV56" s="493"/>
      <c r="AW56" s="493"/>
      <c r="AX56" s="493"/>
      <c r="AY56" s="494"/>
      <c r="AZ56" s="96"/>
      <c r="BA56" s="9"/>
      <c r="BB56" s="9"/>
      <c r="BC56" s="126"/>
      <c r="BD56" s="126"/>
      <c r="BE56" s="126"/>
      <c r="BF56" s="129"/>
      <c r="BG56" s="129"/>
      <c r="BH56" s="129"/>
      <c r="BI56" s="129"/>
      <c r="BJ56" s="126"/>
      <c r="BK56" s="125"/>
      <c r="BL56" s="21"/>
      <c r="BM56" s="127"/>
      <c r="BN56" s="511"/>
      <c r="BO56" s="514"/>
      <c r="BP56" s="513"/>
      <c r="BQ56" s="107"/>
      <c r="BR56" s="108"/>
      <c r="BS56" s="488"/>
      <c r="BT56" s="489"/>
      <c r="BU56" s="490"/>
      <c r="BV56" s="491"/>
      <c r="BW56" s="488"/>
      <c r="BX56" s="490"/>
      <c r="BY56" s="490"/>
      <c r="BZ56" s="491"/>
      <c r="CA56" s="257"/>
      <c r="CB56" s="94"/>
      <c r="CC56" s="495"/>
      <c r="CD56" s="94"/>
      <c r="CE56" s="95"/>
      <c r="CF56" s="52"/>
    </row>
    <row r="57" spans="1:84" ht="30" customHeight="1" x14ac:dyDescent="0.3">
      <c r="A57" s="60" t="str">
        <f t="shared" si="0"/>
        <v>Unitil</v>
      </c>
      <c r="B57" s="66" t="s">
        <v>383</v>
      </c>
      <c r="C57" s="66" t="s">
        <v>383</v>
      </c>
      <c r="D57" s="58" t="s">
        <v>430</v>
      </c>
      <c r="E57" s="58" t="s">
        <v>395</v>
      </c>
      <c r="F57" s="58" t="s">
        <v>432</v>
      </c>
      <c r="G57" s="58" t="s">
        <v>433</v>
      </c>
      <c r="H57" s="10" t="s">
        <v>387</v>
      </c>
      <c r="I57" s="14" t="s">
        <v>453</v>
      </c>
      <c r="J57" s="128" t="s">
        <v>454</v>
      </c>
      <c r="K57" s="526"/>
      <c r="L57" s="526"/>
      <c r="M57" s="58"/>
      <c r="N57" s="559"/>
      <c r="O57" s="527"/>
      <c r="P57" s="524"/>
      <c r="Q57" s="560"/>
      <c r="R57" s="528"/>
      <c r="S57" s="18"/>
      <c r="T57" s="16"/>
      <c r="U57" s="18"/>
      <c r="V57" s="16"/>
      <c r="W57" s="18"/>
      <c r="X57" s="16"/>
      <c r="Y57" s="18"/>
      <c r="Z57" s="10"/>
      <c r="AA57" s="561"/>
      <c r="AB57" s="562"/>
      <c r="AC57" s="563"/>
      <c r="AD57" s="562"/>
      <c r="AE57" s="563"/>
      <c r="AF57" s="562"/>
      <c r="AG57" s="563"/>
      <c r="AH57" s="562"/>
      <c r="AI57" s="564"/>
      <c r="AJ57" s="565"/>
      <c r="AK57" s="566"/>
      <c r="AL57" s="565"/>
      <c r="AM57" s="565"/>
      <c r="AN57" s="565"/>
      <c r="AO57" s="565"/>
      <c r="AP57" s="565"/>
      <c r="AQ57" s="565"/>
      <c r="AR57" s="492"/>
      <c r="AS57" s="493"/>
      <c r="AT57" s="493"/>
      <c r="AU57" s="493"/>
      <c r="AV57" s="493"/>
      <c r="AW57" s="493"/>
      <c r="AX57" s="493"/>
      <c r="AY57" s="494"/>
      <c r="AZ57" s="96"/>
      <c r="BA57" s="9"/>
      <c r="BB57" s="9"/>
      <c r="BC57" s="126"/>
      <c r="BD57" s="126"/>
      <c r="BE57" s="126"/>
      <c r="BF57" s="129"/>
      <c r="BG57" s="129"/>
      <c r="BH57" s="129"/>
      <c r="BI57" s="129"/>
      <c r="BJ57" s="126"/>
      <c r="BK57" s="125"/>
      <c r="BL57" s="21"/>
      <c r="BM57" s="127"/>
      <c r="BN57" s="511"/>
      <c r="BO57" s="514"/>
      <c r="BP57" s="513"/>
      <c r="BQ57" s="107"/>
      <c r="BR57" s="108"/>
      <c r="BS57" s="488"/>
      <c r="BT57" s="489"/>
      <c r="BU57" s="490"/>
      <c r="BV57" s="491"/>
      <c r="BW57" s="488"/>
      <c r="BX57" s="490"/>
      <c r="BY57" s="490"/>
      <c r="BZ57" s="491"/>
      <c r="CA57" s="257"/>
      <c r="CB57" s="94"/>
      <c r="CC57" s="495"/>
      <c r="CD57" s="94"/>
      <c r="CE57" s="95"/>
      <c r="CF57" s="52"/>
    </row>
    <row r="58" spans="1:84" ht="30" customHeight="1" thickBot="1" x14ac:dyDescent="0.35">
      <c r="A58" s="60" t="str">
        <f t="shared" si="0"/>
        <v>Unitil</v>
      </c>
      <c r="B58" s="66" t="s">
        <v>383</v>
      </c>
      <c r="C58" s="66" t="s">
        <v>383</v>
      </c>
      <c r="D58" s="58" t="s">
        <v>430</v>
      </c>
      <c r="E58" s="58" t="s">
        <v>395</v>
      </c>
      <c r="F58" s="496"/>
      <c r="G58" s="496"/>
      <c r="H58" s="497"/>
      <c r="I58" s="529"/>
      <c r="J58" s="496"/>
      <c r="K58" s="496"/>
      <c r="L58" s="496"/>
      <c r="M58" s="496"/>
      <c r="N58" s="567"/>
      <c r="O58" s="530"/>
      <c r="P58" s="568"/>
      <c r="Q58" s="510"/>
      <c r="R58" s="531"/>
      <c r="S58" s="569"/>
      <c r="T58" s="569"/>
      <c r="U58" s="569"/>
      <c r="V58" s="569"/>
      <c r="W58" s="569"/>
      <c r="X58" s="569"/>
      <c r="Y58" s="569"/>
      <c r="Z58" s="569"/>
      <c r="AA58" s="569"/>
      <c r="AB58" s="569"/>
      <c r="AC58" s="569"/>
      <c r="AD58" s="569"/>
      <c r="AE58" s="569"/>
      <c r="AF58" s="569"/>
      <c r="AG58" s="569"/>
      <c r="AH58" s="569"/>
      <c r="AI58" s="569"/>
      <c r="AJ58" s="569"/>
      <c r="AK58" s="497"/>
      <c r="AL58" s="569"/>
      <c r="AM58" s="497"/>
      <c r="AN58" s="569"/>
      <c r="AO58" s="497"/>
      <c r="AP58" s="569"/>
      <c r="AQ58" s="497"/>
      <c r="AR58" s="492"/>
      <c r="AS58" s="493"/>
      <c r="AT58" s="493"/>
      <c r="AU58" s="493"/>
      <c r="AV58" s="493"/>
      <c r="AW58" s="493"/>
      <c r="AX58" s="493"/>
      <c r="AY58" s="494"/>
      <c r="AZ58" s="96"/>
      <c r="BA58" s="9"/>
      <c r="BB58" s="9"/>
      <c r="BC58" s="126"/>
      <c r="BD58" s="126"/>
      <c r="BE58" s="126"/>
      <c r="BF58" s="129"/>
      <c r="BG58" s="129"/>
      <c r="BH58" s="129"/>
      <c r="BI58" s="129"/>
      <c r="BJ58" s="126"/>
      <c r="BK58" s="125"/>
      <c r="BL58" s="21"/>
      <c r="BM58" s="127"/>
      <c r="BN58" s="515"/>
      <c r="BO58" s="516"/>
      <c r="BP58" s="517"/>
      <c r="BQ58" s="107"/>
      <c r="BR58" s="108"/>
      <c r="BS58" s="488"/>
      <c r="BT58" s="489"/>
      <c r="BU58" s="490"/>
      <c r="BV58" s="491"/>
      <c r="BW58" s="488"/>
      <c r="BX58" s="490"/>
      <c r="BY58" s="490"/>
      <c r="BZ58" s="491"/>
      <c r="CA58" s="257"/>
      <c r="CB58" s="94"/>
      <c r="CC58" s="495"/>
      <c r="CD58" s="94"/>
      <c r="CE58" s="95"/>
      <c r="CF58" s="52"/>
    </row>
    <row r="59" spans="1:84" ht="30" customHeight="1" thickBot="1" x14ac:dyDescent="0.35">
      <c r="A59" s="60" t="str">
        <f t="shared" si="0"/>
        <v>Unitil</v>
      </c>
      <c r="B59" s="66" t="s">
        <v>383</v>
      </c>
      <c r="C59" s="66" t="s">
        <v>383</v>
      </c>
      <c r="D59" s="58" t="s">
        <v>434</v>
      </c>
      <c r="E59" s="58" t="s">
        <v>385</v>
      </c>
      <c r="F59" s="58" t="s">
        <v>435</v>
      </c>
      <c r="G59" s="58" t="s">
        <v>385</v>
      </c>
      <c r="H59" s="10" t="s">
        <v>387</v>
      </c>
      <c r="I59" s="14" t="s">
        <v>453</v>
      </c>
      <c r="J59" s="128" t="s">
        <v>454</v>
      </c>
      <c r="K59" s="526"/>
      <c r="L59" s="526"/>
      <c r="M59" s="58"/>
      <c r="N59" s="559"/>
      <c r="O59" s="527"/>
      <c r="P59" s="524"/>
      <c r="Q59" s="560"/>
      <c r="R59" s="528"/>
      <c r="S59" s="18"/>
      <c r="T59" s="16"/>
      <c r="U59" s="18"/>
      <c r="V59" s="16"/>
      <c r="W59" s="18"/>
      <c r="X59" s="16"/>
      <c r="Y59" s="18"/>
      <c r="Z59" s="10"/>
      <c r="AA59" s="561"/>
      <c r="AB59" s="562"/>
      <c r="AC59" s="563"/>
      <c r="AD59" s="562"/>
      <c r="AE59" s="563"/>
      <c r="AF59" s="562"/>
      <c r="AG59" s="563"/>
      <c r="AH59" s="562"/>
      <c r="AI59" s="564"/>
      <c r="AJ59" s="565"/>
      <c r="AK59" s="566"/>
      <c r="AL59" s="565"/>
      <c r="AM59" s="565"/>
      <c r="AN59" s="565"/>
      <c r="AO59" s="565"/>
      <c r="AP59" s="565"/>
      <c r="AQ59" s="565"/>
      <c r="AR59" s="492"/>
      <c r="AS59" s="493"/>
      <c r="AT59" s="493"/>
      <c r="AU59" s="493"/>
      <c r="AV59" s="493"/>
      <c r="AW59" s="493"/>
      <c r="AX59" s="493"/>
      <c r="AY59" s="494"/>
      <c r="AZ59" s="96"/>
      <c r="BA59" s="9"/>
      <c r="BB59" s="9"/>
      <c r="BC59" s="126"/>
      <c r="BD59" s="126"/>
      <c r="BE59" s="126"/>
      <c r="BF59" s="129"/>
      <c r="BG59" s="129"/>
      <c r="BH59" s="129"/>
      <c r="BI59" s="129"/>
      <c r="BJ59" s="126"/>
      <c r="BK59" s="125"/>
      <c r="BL59" s="21"/>
      <c r="BM59" s="127"/>
      <c r="BN59" s="511"/>
      <c r="BO59" s="514"/>
      <c r="BP59" s="513"/>
      <c r="BQ59" s="107"/>
      <c r="BR59" s="108"/>
      <c r="BS59" s="488"/>
      <c r="BT59" s="489"/>
      <c r="BU59" s="490"/>
      <c r="BV59" s="491"/>
      <c r="BW59" s="488"/>
      <c r="BX59" s="490"/>
      <c r="BY59" s="490"/>
      <c r="BZ59" s="491"/>
      <c r="CA59" s="257"/>
      <c r="CB59" s="94"/>
      <c r="CC59" s="495"/>
      <c r="CD59" s="94"/>
      <c r="CE59" s="95"/>
      <c r="CF59" s="52"/>
    </row>
    <row r="60" spans="1:84" ht="30" customHeight="1" thickBot="1" x14ac:dyDescent="0.35">
      <c r="A60" s="60" t="str">
        <f t="shared" si="0"/>
        <v>Unitil</v>
      </c>
      <c r="B60" s="66" t="s">
        <v>383</v>
      </c>
      <c r="C60" s="66" t="s">
        <v>383</v>
      </c>
      <c r="D60" s="58" t="s">
        <v>434</v>
      </c>
      <c r="E60" s="58" t="s">
        <v>385</v>
      </c>
      <c r="F60" s="58" t="s">
        <v>436</v>
      </c>
      <c r="G60" s="58" t="s">
        <v>385</v>
      </c>
      <c r="H60" s="10" t="s">
        <v>387</v>
      </c>
      <c r="I60" s="14" t="s">
        <v>453</v>
      </c>
      <c r="J60" s="128" t="s">
        <v>454</v>
      </c>
      <c r="K60" s="526"/>
      <c r="L60" s="526"/>
      <c r="M60" s="58"/>
      <c r="N60" s="559"/>
      <c r="O60" s="527"/>
      <c r="P60" s="524"/>
      <c r="Q60" s="560"/>
      <c r="R60" s="528"/>
      <c r="S60" s="18"/>
      <c r="T60" s="16"/>
      <c r="U60" s="18"/>
      <c r="V60" s="16"/>
      <c r="W60" s="18"/>
      <c r="X60" s="16"/>
      <c r="Y60" s="18"/>
      <c r="Z60" s="10"/>
      <c r="AA60" s="561"/>
      <c r="AB60" s="562"/>
      <c r="AC60" s="563"/>
      <c r="AD60" s="562"/>
      <c r="AE60" s="563"/>
      <c r="AF60" s="562"/>
      <c r="AG60" s="563"/>
      <c r="AH60" s="562"/>
      <c r="AI60" s="564"/>
      <c r="AJ60" s="565"/>
      <c r="AK60" s="566"/>
      <c r="AL60" s="565"/>
      <c r="AM60" s="565"/>
      <c r="AN60" s="565"/>
      <c r="AO60" s="565"/>
      <c r="AP60" s="565"/>
      <c r="AQ60" s="565"/>
      <c r="AR60" s="492"/>
      <c r="AS60" s="493"/>
      <c r="AT60" s="493"/>
      <c r="AU60" s="493"/>
      <c r="AV60" s="493"/>
      <c r="AW60" s="493"/>
      <c r="AX60" s="493"/>
      <c r="AY60" s="494"/>
      <c r="AZ60" s="96"/>
      <c r="BA60" s="9"/>
      <c r="BB60" s="9"/>
      <c r="BC60" s="126"/>
      <c r="BD60" s="126"/>
      <c r="BE60" s="126"/>
      <c r="BF60" s="129"/>
      <c r="BG60" s="129"/>
      <c r="BH60" s="129"/>
      <c r="BI60" s="129"/>
      <c r="BJ60" s="126"/>
      <c r="BK60" s="125"/>
      <c r="BL60" s="21"/>
      <c r="BM60" s="127"/>
      <c r="BN60" s="511"/>
      <c r="BO60" s="514"/>
      <c r="BP60" s="513"/>
      <c r="BQ60" s="107"/>
      <c r="BR60" s="108"/>
      <c r="BS60" s="488"/>
      <c r="BT60" s="489"/>
      <c r="BU60" s="490"/>
      <c r="BV60" s="491"/>
      <c r="BW60" s="488"/>
      <c r="BX60" s="490"/>
      <c r="BY60" s="490"/>
      <c r="BZ60" s="491"/>
      <c r="CA60" s="257"/>
      <c r="CB60" s="94"/>
      <c r="CC60" s="495"/>
      <c r="CD60" s="94"/>
      <c r="CE60" s="95"/>
      <c r="CF60" s="52"/>
    </row>
    <row r="61" spans="1:84" ht="30" customHeight="1" thickBot="1" x14ac:dyDescent="0.35">
      <c r="A61" s="60" t="str">
        <f t="shared" si="0"/>
        <v>Unitil</v>
      </c>
      <c r="B61" s="66" t="s">
        <v>383</v>
      </c>
      <c r="C61" s="66" t="s">
        <v>383</v>
      </c>
      <c r="D61" s="58" t="s">
        <v>434</v>
      </c>
      <c r="E61" s="58" t="s">
        <v>385</v>
      </c>
      <c r="F61" s="58" t="s">
        <v>437</v>
      </c>
      <c r="G61" s="58" t="s">
        <v>438</v>
      </c>
      <c r="H61" s="10" t="s">
        <v>387</v>
      </c>
      <c r="I61" s="14" t="s">
        <v>453</v>
      </c>
      <c r="J61" s="128" t="s">
        <v>454</v>
      </c>
      <c r="K61" s="526"/>
      <c r="L61" s="526"/>
      <c r="M61" s="58"/>
      <c r="N61" s="559"/>
      <c r="O61" s="527"/>
      <c r="P61" s="524"/>
      <c r="Q61" s="560"/>
      <c r="R61" s="528"/>
      <c r="S61" s="18"/>
      <c r="T61" s="16"/>
      <c r="U61" s="18"/>
      <c r="V61" s="16"/>
      <c r="W61" s="18"/>
      <c r="X61" s="16"/>
      <c r="Y61" s="18"/>
      <c r="Z61" s="10"/>
      <c r="AA61" s="561"/>
      <c r="AB61" s="562"/>
      <c r="AC61" s="563"/>
      <c r="AD61" s="562"/>
      <c r="AE61" s="563"/>
      <c r="AF61" s="562"/>
      <c r="AG61" s="563"/>
      <c r="AH61" s="562"/>
      <c r="AI61" s="564"/>
      <c r="AJ61" s="565"/>
      <c r="AK61" s="566"/>
      <c r="AL61" s="565"/>
      <c r="AM61" s="565"/>
      <c r="AN61" s="565"/>
      <c r="AO61" s="565"/>
      <c r="AP61" s="565"/>
      <c r="AQ61" s="565"/>
      <c r="AR61" s="492"/>
      <c r="AS61" s="493"/>
      <c r="AT61" s="493"/>
      <c r="AU61" s="493"/>
      <c r="AV61" s="493"/>
      <c r="AW61" s="493"/>
      <c r="AX61" s="493"/>
      <c r="AY61" s="494"/>
      <c r="AZ61" s="96"/>
      <c r="BA61" s="9"/>
      <c r="BB61" s="9"/>
      <c r="BC61" s="126"/>
      <c r="BD61" s="126"/>
      <c r="BE61" s="126"/>
      <c r="BF61" s="129"/>
      <c r="BG61" s="129"/>
      <c r="BH61" s="129"/>
      <c r="BI61" s="129"/>
      <c r="BJ61" s="126"/>
      <c r="BK61" s="125"/>
      <c r="BL61" s="21"/>
      <c r="BM61" s="127"/>
      <c r="BN61" s="511"/>
      <c r="BO61" s="514"/>
      <c r="BP61" s="513"/>
      <c r="BQ61" s="107"/>
      <c r="BR61" s="108"/>
      <c r="BS61" s="488"/>
      <c r="BT61" s="489"/>
      <c r="BU61" s="490"/>
      <c r="BV61" s="491"/>
      <c r="BW61" s="488"/>
      <c r="BX61" s="490"/>
      <c r="BY61" s="490"/>
      <c r="BZ61" s="491"/>
      <c r="CA61" s="257"/>
      <c r="CB61" s="94"/>
      <c r="CC61" s="495"/>
      <c r="CD61" s="94"/>
      <c r="CE61" s="95"/>
      <c r="CF61" s="52"/>
    </row>
    <row r="62" spans="1:84" ht="30" customHeight="1" thickBot="1" x14ac:dyDescent="0.35">
      <c r="A62" s="60" t="str">
        <f t="shared" si="0"/>
        <v>Unitil</v>
      </c>
      <c r="B62" s="66" t="s">
        <v>383</v>
      </c>
      <c r="C62" s="66" t="s">
        <v>383</v>
      </c>
      <c r="D62" s="58" t="s">
        <v>434</v>
      </c>
      <c r="E62" s="58" t="s">
        <v>385</v>
      </c>
      <c r="F62" s="58" t="s">
        <v>439</v>
      </c>
      <c r="G62" s="58" t="s">
        <v>385</v>
      </c>
      <c r="H62" s="10" t="s">
        <v>387</v>
      </c>
      <c r="I62" s="14" t="s">
        <v>453</v>
      </c>
      <c r="J62" s="128" t="s">
        <v>454</v>
      </c>
      <c r="K62" s="526"/>
      <c r="L62" s="526"/>
      <c r="M62" s="58"/>
      <c r="N62" s="559"/>
      <c r="O62" s="527"/>
      <c r="P62" s="524"/>
      <c r="Q62" s="560"/>
      <c r="R62" s="528"/>
      <c r="S62" s="18"/>
      <c r="T62" s="16"/>
      <c r="U62" s="18"/>
      <c r="V62" s="16"/>
      <c r="W62" s="18"/>
      <c r="X62" s="16"/>
      <c r="Y62" s="18"/>
      <c r="Z62" s="10"/>
      <c r="AA62" s="561"/>
      <c r="AB62" s="562"/>
      <c r="AC62" s="563"/>
      <c r="AD62" s="562"/>
      <c r="AE62" s="563"/>
      <c r="AF62" s="562"/>
      <c r="AG62" s="563"/>
      <c r="AH62" s="562"/>
      <c r="AI62" s="564"/>
      <c r="AJ62" s="565"/>
      <c r="AK62" s="566"/>
      <c r="AL62" s="565"/>
      <c r="AM62" s="565"/>
      <c r="AN62" s="565"/>
      <c r="AO62" s="565"/>
      <c r="AP62" s="565"/>
      <c r="AQ62" s="565"/>
      <c r="AR62" s="492"/>
      <c r="AS62" s="493"/>
      <c r="AT62" s="493"/>
      <c r="AU62" s="493"/>
      <c r="AV62" s="493"/>
      <c r="AW62" s="493"/>
      <c r="AX62" s="493"/>
      <c r="AY62" s="494"/>
      <c r="AZ62" s="96"/>
      <c r="BA62" s="9"/>
      <c r="BB62" s="9"/>
      <c r="BC62" s="126"/>
      <c r="BD62" s="126"/>
      <c r="BE62" s="126"/>
      <c r="BF62" s="129"/>
      <c r="BG62" s="129"/>
      <c r="BH62" s="129"/>
      <c r="BI62" s="129"/>
      <c r="BJ62" s="126"/>
      <c r="BK62" s="125"/>
      <c r="BL62" s="21"/>
      <c r="BM62" s="127"/>
      <c r="BN62" s="511"/>
      <c r="BO62" s="514"/>
      <c r="BP62" s="513"/>
      <c r="BQ62" s="107"/>
      <c r="BR62" s="108"/>
      <c r="BS62" s="488"/>
      <c r="BT62" s="489"/>
      <c r="BU62" s="490"/>
      <c r="BV62" s="491"/>
      <c r="BW62" s="488"/>
      <c r="BX62" s="490"/>
      <c r="BY62" s="490"/>
      <c r="BZ62" s="491"/>
      <c r="CA62" s="257"/>
      <c r="CB62" s="94"/>
      <c r="CC62" s="495"/>
      <c r="CD62" s="94"/>
      <c r="CE62" s="95"/>
      <c r="CF62" s="52"/>
    </row>
    <row r="63" spans="1:84" ht="30" customHeight="1" thickBot="1" x14ac:dyDescent="0.35">
      <c r="A63" s="60" t="str">
        <f t="shared" si="0"/>
        <v>Unitil</v>
      </c>
      <c r="B63" s="66" t="s">
        <v>383</v>
      </c>
      <c r="C63" s="66" t="s">
        <v>383</v>
      </c>
      <c r="D63" s="58" t="s">
        <v>434</v>
      </c>
      <c r="E63" s="58" t="s">
        <v>385</v>
      </c>
      <c r="F63" s="58">
        <v>1303</v>
      </c>
      <c r="G63" s="58" t="s">
        <v>385</v>
      </c>
      <c r="H63" s="10" t="s">
        <v>387</v>
      </c>
      <c r="I63" s="14" t="s">
        <v>453</v>
      </c>
      <c r="J63" s="128" t="s">
        <v>454</v>
      </c>
      <c r="K63" s="526"/>
      <c r="L63" s="526"/>
      <c r="M63" s="58"/>
      <c r="N63" s="527"/>
      <c r="O63" s="527"/>
      <c r="P63" s="524"/>
      <c r="Q63" s="560"/>
      <c r="R63" s="528"/>
      <c r="S63" s="18"/>
      <c r="T63" s="16"/>
      <c r="U63" s="18"/>
      <c r="V63" s="16"/>
      <c r="W63" s="18"/>
      <c r="X63" s="16"/>
      <c r="Y63" s="18"/>
      <c r="Z63" s="10"/>
      <c r="AA63" s="561"/>
      <c r="AB63" s="562"/>
      <c r="AC63" s="563"/>
      <c r="AD63" s="562"/>
      <c r="AE63" s="563"/>
      <c r="AF63" s="562"/>
      <c r="AG63" s="563"/>
      <c r="AH63" s="562"/>
      <c r="AI63" s="564"/>
      <c r="AJ63" s="565"/>
      <c r="AK63" s="566"/>
      <c r="AL63" s="565"/>
      <c r="AM63" s="565"/>
      <c r="AN63" s="565"/>
      <c r="AO63" s="565"/>
      <c r="AP63" s="565"/>
      <c r="AQ63" s="565"/>
      <c r="AR63" s="492"/>
      <c r="AS63" s="493"/>
      <c r="AT63" s="493"/>
      <c r="AU63" s="493"/>
      <c r="AV63" s="493"/>
      <c r="AW63" s="493"/>
      <c r="AX63" s="493"/>
      <c r="AY63" s="494"/>
      <c r="AZ63" s="96"/>
      <c r="BA63" s="9"/>
      <c r="BB63" s="9"/>
      <c r="BC63" s="126"/>
      <c r="BD63" s="126"/>
      <c r="BE63" s="126"/>
      <c r="BF63" s="129"/>
      <c r="BG63" s="129"/>
      <c r="BH63" s="129"/>
      <c r="BI63" s="129"/>
      <c r="BJ63" s="126"/>
      <c r="BK63" s="125"/>
      <c r="BL63" s="21"/>
      <c r="BM63" s="127"/>
      <c r="BN63" s="511"/>
      <c r="BO63" s="514"/>
      <c r="BP63" s="513"/>
      <c r="BQ63" s="107"/>
      <c r="BR63" s="108"/>
      <c r="BS63" s="488"/>
      <c r="BT63" s="489"/>
      <c r="BU63" s="490"/>
      <c r="BV63" s="491"/>
      <c r="BW63" s="488"/>
      <c r="BX63" s="490"/>
      <c r="BY63" s="490"/>
      <c r="BZ63" s="491"/>
      <c r="CA63" s="257"/>
      <c r="CB63" s="94"/>
      <c r="CC63" s="495"/>
      <c r="CD63" s="94"/>
      <c r="CE63" s="95"/>
      <c r="CF63" s="52"/>
    </row>
    <row r="64" spans="1:84" ht="30" customHeight="1" x14ac:dyDescent="0.3">
      <c r="A64" s="60" t="str">
        <f t="shared" si="0"/>
        <v>Unitil</v>
      </c>
      <c r="B64" s="66" t="s">
        <v>383</v>
      </c>
      <c r="C64" s="66" t="s">
        <v>383</v>
      </c>
      <c r="D64" s="58" t="s">
        <v>434</v>
      </c>
      <c r="E64" s="58" t="s">
        <v>385</v>
      </c>
      <c r="F64" s="58">
        <v>1309</v>
      </c>
      <c r="G64" s="58" t="s">
        <v>385</v>
      </c>
      <c r="H64" s="10" t="s">
        <v>387</v>
      </c>
      <c r="I64" s="14" t="s">
        <v>453</v>
      </c>
      <c r="J64" s="128" t="s">
        <v>454</v>
      </c>
      <c r="K64" s="526"/>
      <c r="L64" s="526"/>
      <c r="M64" s="58"/>
      <c r="N64" s="527"/>
      <c r="O64" s="527"/>
      <c r="P64" s="572"/>
      <c r="Q64" s="560"/>
      <c r="R64" s="528"/>
      <c r="S64" s="18"/>
      <c r="T64" s="16"/>
      <c r="U64" s="18"/>
      <c r="V64" s="16"/>
      <c r="W64" s="18"/>
      <c r="X64" s="16"/>
      <c r="Y64" s="18"/>
      <c r="Z64" s="10"/>
      <c r="AA64" s="561"/>
      <c r="AB64" s="562"/>
      <c r="AC64" s="563"/>
      <c r="AD64" s="562"/>
      <c r="AE64" s="563"/>
      <c r="AF64" s="562"/>
      <c r="AG64" s="563"/>
      <c r="AH64" s="562"/>
      <c r="AI64" s="564"/>
      <c r="AJ64" s="565"/>
      <c r="AK64" s="566"/>
      <c r="AL64" s="565"/>
      <c r="AM64" s="565"/>
      <c r="AN64" s="565"/>
      <c r="AO64" s="565"/>
      <c r="AP64" s="565"/>
      <c r="AQ64" s="565"/>
      <c r="AR64" s="492"/>
      <c r="AS64" s="493"/>
      <c r="AT64" s="493"/>
      <c r="AU64" s="493"/>
      <c r="AV64" s="493"/>
      <c r="AW64" s="493"/>
      <c r="AX64" s="493"/>
      <c r="AY64" s="494"/>
      <c r="AZ64" s="96"/>
      <c r="BA64" s="9"/>
      <c r="BB64" s="9"/>
      <c r="BC64" s="126"/>
      <c r="BD64" s="126"/>
      <c r="BE64" s="126"/>
      <c r="BF64" s="129"/>
      <c r="BG64" s="129"/>
      <c r="BH64" s="129"/>
      <c r="BI64" s="129"/>
      <c r="BJ64" s="126"/>
      <c r="BK64" s="125"/>
      <c r="BL64" s="21"/>
      <c r="BM64" s="127"/>
      <c r="BN64" s="511"/>
      <c r="BO64" s="514"/>
      <c r="BP64" s="513"/>
      <c r="BQ64" s="107"/>
      <c r="BR64" s="108"/>
      <c r="BS64" s="488"/>
      <c r="BT64" s="489"/>
      <c r="BU64" s="490"/>
      <c r="BV64" s="491"/>
      <c r="BW64" s="488"/>
      <c r="BX64" s="490"/>
      <c r="BY64" s="490"/>
      <c r="BZ64" s="491"/>
      <c r="CA64" s="257"/>
      <c r="CB64" s="94"/>
      <c r="CC64" s="495"/>
      <c r="CD64" s="94"/>
      <c r="CE64" s="95"/>
      <c r="CF64" s="52"/>
    </row>
    <row r="65" spans="1:99" ht="30" customHeight="1" thickBot="1" x14ac:dyDescent="0.35">
      <c r="A65" s="60" t="str">
        <f t="shared" si="0"/>
        <v>Unitil</v>
      </c>
      <c r="B65" s="66" t="s">
        <v>383</v>
      </c>
      <c r="C65" s="66" t="s">
        <v>383</v>
      </c>
      <c r="D65" s="58" t="s">
        <v>434</v>
      </c>
      <c r="E65" s="58" t="s">
        <v>385</v>
      </c>
      <c r="F65" s="496"/>
      <c r="G65" s="496"/>
      <c r="H65" s="497"/>
      <c r="I65" s="529"/>
      <c r="J65" s="496"/>
      <c r="K65" s="496"/>
      <c r="L65" s="496"/>
      <c r="M65" s="496"/>
      <c r="N65" s="567"/>
      <c r="O65" s="530"/>
      <c r="P65" s="568"/>
      <c r="Q65" s="510"/>
      <c r="R65" s="531"/>
      <c r="S65" s="569"/>
      <c r="T65" s="569"/>
      <c r="U65" s="569"/>
      <c r="V65" s="569"/>
      <c r="W65" s="569"/>
      <c r="X65" s="569"/>
      <c r="Y65" s="569"/>
      <c r="Z65" s="569"/>
      <c r="AA65" s="569"/>
      <c r="AB65" s="569"/>
      <c r="AC65" s="569"/>
      <c r="AD65" s="569"/>
      <c r="AE65" s="569"/>
      <c r="AF65" s="569"/>
      <c r="AG65" s="569"/>
      <c r="AH65" s="569"/>
      <c r="AI65" s="569"/>
      <c r="AJ65" s="569"/>
      <c r="AK65" s="497"/>
      <c r="AL65" s="569"/>
      <c r="AM65" s="497"/>
      <c r="AN65" s="569"/>
      <c r="AO65" s="497"/>
      <c r="AP65" s="569"/>
      <c r="AQ65" s="497"/>
      <c r="AR65" s="492"/>
      <c r="AS65" s="493"/>
      <c r="AT65" s="493"/>
      <c r="AU65" s="493"/>
      <c r="AV65" s="493"/>
      <c r="AW65" s="493"/>
      <c r="AX65" s="493"/>
      <c r="AY65" s="494"/>
      <c r="AZ65" s="96"/>
      <c r="BA65" s="9"/>
      <c r="BB65" s="9"/>
      <c r="BC65" s="126"/>
      <c r="BD65" s="126"/>
      <c r="BE65" s="126"/>
      <c r="BF65" s="129"/>
      <c r="BG65" s="129"/>
      <c r="BH65" s="129"/>
      <c r="BI65" s="129"/>
      <c r="BJ65" s="126"/>
      <c r="BK65" s="125"/>
      <c r="BL65" s="21"/>
      <c r="BM65" s="127"/>
      <c r="BN65" s="515"/>
      <c r="BO65" s="516"/>
      <c r="BP65" s="517"/>
      <c r="BQ65" s="107"/>
      <c r="BR65" s="108"/>
      <c r="BS65" s="498"/>
      <c r="BT65" s="106"/>
      <c r="BU65" s="105"/>
      <c r="BV65" s="499"/>
      <c r="BW65" s="498"/>
      <c r="BX65" s="105"/>
      <c r="BY65" s="105"/>
      <c r="BZ65" s="499"/>
      <c r="CA65" s="257"/>
      <c r="CB65" s="94"/>
      <c r="CC65" s="495"/>
      <c r="CD65" s="94"/>
      <c r="CE65" s="95"/>
      <c r="CF65" s="52"/>
    </row>
    <row r="66" spans="1:99" ht="30" customHeight="1" thickBot="1" x14ac:dyDescent="0.35">
      <c r="A66" s="60" t="str">
        <f t="shared" si="0"/>
        <v>Unitil</v>
      </c>
      <c r="B66" s="66" t="s">
        <v>383</v>
      </c>
      <c r="C66" s="66" t="s">
        <v>383</v>
      </c>
      <c r="D66" s="58" t="s">
        <v>440</v>
      </c>
      <c r="E66" s="58" t="s">
        <v>385</v>
      </c>
      <c r="F66" s="58" t="s">
        <v>441</v>
      </c>
      <c r="G66" s="58" t="s">
        <v>385</v>
      </c>
      <c r="H66" s="10" t="s">
        <v>387</v>
      </c>
      <c r="I66" s="14" t="s">
        <v>453</v>
      </c>
      <c r="J66" s="128" t="s">
        <v>454</v>
      </c>
      <c r="K66" s="526"/>
      <c r="L66" s="526"/>
      <c r="M66" s="58"/>
      <c r="N66" s="559"/>
      <c r="O66" s="527"/>
      <c r="P66" s="524"/>
      <c r="Q66" s="560"/>
      <c r="R66" s="528"/>
      <c r="S66" s="18"/>
      <c r="T66" s="16"/>
      <c r="U66" s="18"/>
      <c r="V66" s="16"/>
      <c r="W66" s="18"/>
      <c r="X66" s="16"/>
      <c r="Y66" s="18"/>
      <c r="Z66" s="10"/>
      <c r="AA66" s="561"/>
      <c r="AB66" s="562"/>
      <c r="AC66" s="563"/>
      <c r="AD66" s="562"/>
      <c r="AE66" s="563"/>
      <c r="AF66" s="562"/>
      <c r="AG66" s="563"/>
      <c r="AH66" s="562"/>
      <c r="AI66" s="564"/>
      <c r="AJ66" s="565"/>
      <c r="AK66" s="566"/>
      <c r="AL66" s="565"/>
      <c r="AM66" s="565"/>
      <c r="AN66" s="565"/>
      <c r="AO66" s="565"/>
      <c r="AP66" s="565"/>
      <c r="AQ66" s="565"/>
      <c r="AR66" s="492"/>
      <c r="AS66" s="493"/>
      <c r="AT66" s="493"/>
      <c r="AU66" s="493"/>
      <c r="AV66" s="493"/>
      <c r="AW66" s="493"/>
      <c r="AX66" s="493"/>
      <c r="AY66" s="494"/>
      <c r="AZ66" s="96"/>
      <c r="BA66" s="9"/>
      <c r="BB66" s="9"/>
      <c r="BC66" s="126"/>
      <c r="BD66" s="126"/>
      <c r="BE66" s="126"/>
      <c r="BF66" s="129"/>
      <c r="BG66" s="129"/>
      <c r="BH66" s="129"/>
      <c r="BI66" s="129"/>
      <c r="BJ66" s="126"/>
      <c r="BK66" s="125"/>
      <c r="BL66" s="21"/>
      <c r="BM66" s="127"/>
      <c r="BN66" s="511"/>
      <c r="BO66" s="514"/>
      <c r="BP66" s="513"/>
      <c r="BQ66" s="107"/>
      <c r="BR66" s="108"/>
      <c r="BS66" s="498"/>
      <c r="BT66" s="106"/>
      <c r="BU66" s="105"/>
      <c r="BV66" s="499"/>
      <c r="BW66" s="498"/>
      <c r="BX66" s="105"/>
      <c r="BY66" s="105"/>
      <c r="BZ66" s="499"/>
      <c r="CA66" s="257"/>
      <c r="CB66" s="94"/>
      <c r="CC66" s="495"/>
      <c r="CD66" s="94"/>
      <c r="CE66" s="95"/>
      <c r="CF66" s="52"/>
    </row>
    <row r="67" spans="1:99" ht="30" customHeight="1" x14ac:dyDescent="0.3">
      <c r="A67" s="60" t="str">
        <f t="shared" si="0"/>
        <v>Unitil</v>
      </c>
      <c r="B67" s="66" t="s">
        <v>383</v>
      </c>
      <c r="C67" s="66" t="s">
        <v>383</v>
      </c>
      <c r="D67" s="58" t="s">
        <v>440</v>
      </c>
      <c r="E67" s="58" t="s">
        <v>385</v>
      </c>
      <c r="F67" s="58" t="s">
        <v>442</v>
      </c>
      <c r="G67" s="58" t="s">
        <v>385</v>
      </c>
      <c r="H67" s="10" t="s">
        <v>387</v>
      </c>
      <c r="I67" s="14" t="s">
        <v>453</v>
      </c>
      <c r="J67" s="128" t="s">
        <v>454</v>
      </c>
      <c r="K67" s="526"/>
      <c r="L67" s="526"/>
      <c r="M67" s="58"/>
      <c r="N67" s="559"/>
      <c r="O67" s="527"/>
      <c r="P67" s="524"/>
      <c r="Q67" s="560"/>
      <c r="R67" s="528"/>
      <c r="S67" s="18"/>
      <c r="T67" s="16"/>
      <c r="U67" s="18"/>
      <c r="V67" s="16"/>
      <c r="W67" s="18"/>
      <c r="X67" s="16"/>
      <c r="Y67" s="18"/>
      <c r="Z67" s="10"/>
      <c r="AA67" s="561"/>
      <c r="AB67" s="562"/>
      <c r="AC67" s="563"/>
      <c r="AD67" s="562"/>
      <c r="AE67" s="563"/>
      <c r="AF67" s="562"/>
      <c r="AG67" s="563"/>
      <c r="AH67" s="562"/>
      <c r="AI67" s="564"/>
      <c r="AJ67" s="565"/>
      <c r="AK67" s="566"/>
      <c r="AL67" s="565"/>
      <c r="AM67" s="565"/>
      <c r="AN67" s="565"/>
      <c r="AO67" s="565"/>
      <c r="AP67" s="565"/>
      <c r="AQ67" s="565"/>
      <c r="AR67" s="492"/>
      <c r="AS67" s="493"/>
      <c r="AT67" s="493"/>
      <c r="AU67" s="493"/>
      <c r="AV67" s="493"/>
      <c r="AW67" s="493"/>
      <c r="AX67" s="493"/>
      <c r="AY67" s="494"/>
      <c r="AZ67" s="96"/>
      <c r="BA67" s="9"/>
      <c r="BB67" s="9"/>
      <c r="BC67" s="126"/>
      <c r="BD67" s="126"/>
      <c r="BE67" s="126"/>
      <c r="BF67" s="129"/>
      <c r="BG67" s="129"/>
      <c r="BH67" s="129"/>
      <c r="BI67" s="129"/>
      <c r="BJ67" s="126"/>
      <c r="BK67" s="125"/>
      <c r="BL67" s="21"/>
      <c r="BM67" s="127"/>
      <c r="BN67" s="511"/>
      <c r="BO67" s="514"/>
      <c r="BP67" s="513"/>
      <c r="BQ67" s="107"/>
      <c r="BR67" s="108"/>
      <c r="BS67" s="498"/>
      <c r="BT67" s="106"/>
      <c r="BU67" s="105"/>
      <c r="BV67" s="499"/>
      <c r="BW67" s="498"/>
      <c r="BX67" s="105"/>
      <c r="BY67" s="105"/>
      <c r="BZ67" s="499"/>
      <c r="CA67" s="257"/>
      <c r="CB67" s="94"/>
      <c r="CC67" s="495"/>
      <c r="CD67" s="94"/>
      <c r="CE67" s="95"/>
      <c r="CF67" s="52"/>
    </row>
    <row r="68" spans="1:99" ht="30" customHeight="1" thickBot="1" x14ac:dyDescent="0.35">
      <c r="A68" s="60" t="str">
        <f t="shared" si="0"/>
        <v>Unitil</v>
      </c>
      <c r="B68" s="66" t="s">
        <v>383</v>
      </c>
      <c r="C68" s="66" t="s">
        <v>383</v>
      </c>
      <c r="D68" s="58" t="s">
        <v>440</v>
      </c>
      <c r="E68" s="58" t="s">
        <v>385</v>
      </c>
      <c r="F68" s="58" t="s">
        <v>443</v>
      </c>
      <c r="G68" s="58" t="s">
        <v>385</v>
      </c>
      <c r="H68" s="10" t="s">
        <v>387</v>
      </c>
      <c r="I68" s="14" t="s">
        <v>453</v>
      </c>
      <c r="J68" s="128" t="s">
        <v>454</v>
      </c>
      <c r="K68" s="526"/>
      <c r="L68" s="526"/>
      <c r="M68" s="58"/>
      <c r="N68" s="527"/>
      <c r="O68" s="527"/>
      <c r="P68" s="572"/>
      <c r="Q68" s="560"/>
      <c r="R68" s="528"/>
      <c r="S68" s="18"/>
      <c r="T68" s="16"/>
      <c r="U68" s="18"/>
      <c r="V68" s="16"/>
      <c r="W68" s="18"/>
      <c r="X68" s="16"/>
      <c r="Y68" s="18"/>
      <c r="Z68" s="10"/>
      <c r="AA68" s="65"/>
      <c r="AB68" s="65"/>
      <c r="AC68" s="65"/>
      <c r="AD68" s="65"/>
      <c r="AE68" s="65"/>
      <c r="AF68" s="65"/>
      <c r="AG68" s="65"/>
      <c r="AH68" s="65"/>
      <c r="AI68" s="65"/>
      <c r="AJ68" s="65"/>
      <c r="AK68" s="204"/>
      <c r="AL68" s="65"/>
      <c r="AM68" s="204"/>
      <c r="AN68" s="65"/>
      <c r="AO68" s="204"/>
      <c r="AP68" s="65"/>
      <c r="AQ68" s="204"/>
      <c r="AR68" s="492"/>
      <c r="AS68" s="493"/>
      <c r="AT68" s="493"/>
      <c r="AU68" s="493"/>
      <c r="AV68" s="493"/>
      <c r="AW68" s="493"/>
      <c r="AX68" s="493"/>
      <c r="AY68" s="494"/>
      <c r="AZ68" s="96"/>
      <c r="BA68" s="9"/>
      <c r="BB68" s="9"/>
      <c r="BC68" s="126"/>
      <c r="BD68" s="126"/>
      <c r="BE68" s="126"/>
      <c r="BF68" s="129"/>
      <c r="BG68" s="129"/>
      <c r="BH68" s="129"/>
      <c r="BI68" s="129"/>
      <c r="BJ68" s="126"/>
      <c r="BK68" s="125"/>
      <c r="BL68" s="21"/>
      <c r="BM68" s="127"/>
      <c r="BN68" s="511"/>
      <c r="BO68" s="514"/>
      <c r="BP68" s="513"/>
      <c r="BQ68" s="107"/>
      <c r="BR68" s="108"/>
      <c r="BS68" s="498"/>
      <c r="BT68" s="106"/>
      <c r="BU68" s="105"/>
      <c r="BV68" s="499"/>
      <c r="BW68" s="498"/>
      <c r="BX68" s="105"/>
      <c r="BY68" s="105"/>
      <c r="BZ68" s="499"/>
      <c r="CA68" s="257"/>
      <c r="CB68" s="94"/>
      <c r="CC68" s="495"/>
      <c r="CD68" s="94"/>
      <c r="CE68" s="95"/>
      <c r="CF68" s="52"/>
    </row>
    <row r="69" spans="1:99" ht="30" customHeight="1" thickBot="1" x14ac:dyDescent="0.35">
      <c r="A69" s="60" t="str">
        <f t="shared" si="0"/>
        <v>Unitil</v>
      </c>
      <c r="B69" s="66" t="s">
        <v>383</v>
      </c>
      <c r="C69" s="66" t="s">
        <v>383</v>
      </c>
      <c r="D69" s="58" t="s">
        <v>440</v>
      </c>
      <c r="E69" s="58" t="s">
        <v>385</v>
      </c>
      <c r="F69" s="58" t="s">
        <v>444</v>
      </c>
      <c r="G69" s="58" t="s">
        <v>385</v>
      </c>
      <c r="H69" s="10" t="s">
        <v>387</v>
      </c>
      <c r="I69" s="14" t="s">
        <v>453</v>
      </c>
      <c r="J69" s="128" t="s">
        <v>454</v>
      </c>
      <c r="K69" s="526"/>
      <c r="L69" s="526"/>
      <c r="M69" s="58"/>
      <c r="N69" s="559"/>
      <c r="O69" s="527"/>
      <c r="P69" s="524"/>
      <c r="Q69" s="560"/>
      <c r="R69" s="528"/>
      <c r="S69" s="18"/>
      <c r="T69" s="16"/>
      <c r="U69" s="18"/>
      <c r="V69" s="16"/>
      <c r="W69" s="18"/>
      <c r="X69" s="16"/>
      <c r="Y69" s="18"/>
      <c r="Z69" s="10"/>
      <c r="AA69" s="561"/>
      <c r="AB69" s="562"/>
      <c r="AC69" s="563"/>
      <c r="AD69" s="562"/>
      <c r="AE69" s="563"/>
      <c r="AF69" s="562"/>
      <c r="AG69" s="563"/>
      <c r="AH69" s="562"/>
      <c r="AI69" s="564"/>
      <c r="AJ69" s="565"/>
      <c r="AK69" s="566"/>
      <c r="AL69" s="565"/>
      <c r="AM69" s="565"/>
      <c r="AN69" s="565"/>
      <c r="AO69" s="565"/>
      <c r="AP69" s="565"/>
      <c r="AQ69" s="565"/>
      <c r="AR69" s="492"/>
      <c r="AS69" s="493"/>
      <c r="AT69" s="493"/>
      <c r="AU69" s="493"/>
      <c r="AV69" s="493"/>
      <c r="AW69" s="493"/>
      <c r="AX69" s="493"/>
      <c r="AY69" s="494"/>
      <c r="AZ69" s="96"/>
      <c r="BA69" s="9"/>
      <c r="BB69" s="9"/>
      <c r="BC69" s="126"/>
      <c r="BD69" s="126"/>
      <c r="BE69" s="126"/>
      <c r="BF69" s="129"/>
      <c r="BG69" s="129"/>
      <c r="BH69" s="129"/>
      <c r="BI69" s="129"/>
      <c r="BJ69" s="126"/>
      <c r="BK69" s="125"/>
      <c r="BL69" s="21"/>
      <c r="BM69" s="127"/>
      <c r="BN69" s="511"/>
      <c r="BO69" s="514"/>
      <c r="BP69" s="513"/>
      <c r="BQ69" s="107"/>
      <c r="BR69" s="108"/>
      <c r="BS69" s="498"/>
      <c r="BT69" s="106"/>
      <c r="BU69" s="105"/>
      <c r="BV69" s="499"/>
      <c r="BW69" s="498"/>
      <c r="BX69" s="105"/>
      <c r="BY69" s="105"/>
      <c r="BZ69" s="499"/>
      <c r="CA69" s="257"/>
      <c r="CB69" s="94"/>
      <c r="CC69" s="495"/>
      <c r="CD69" s="94"/>
      <c r="CE69" s="95"/>
      <c r="CF69" s="52"/>
    </row>
    <row r="70" spans="1:99" ht="30" customHeight="1" x14ac:dyDescent="0.3">
      <c r="A70" s="500" t="str">
        <f t="shared" si="0"/>
        <v>Unitil</v>
      </c>
      <c r="B70" s="501" t="s">
        <v>383</v>
      </c>
      <c r="C70" s="501" t="s">
        <v>383</v>
      </c>
      <c r="D70" s="212" t="s">
        <v>440</v>
      </c>
      <c r="E70" s="212" t="s">
        <v>385</v>
      </c>
      <c r="F70" s="212" t="s">
        <v>445</v>
      </c>
      <c r="G70" s="212" t="s">
        <v>385</v>
      </c>
      <c r="H70" s="196" t="s">
        <v>387</v>
      </c>
      <c r="I70" s="534" t="s">
        <v>453</v>
      </c>
      <c r="J70" s="195" t="s">
        <v>454</v>
      </c>
      <c r="K70" s="535"/>
      <c r="L70" s="535"/>
      <c r="M70" s="212"/>
      <c r="N70" s="559"/>
      <c r="O70" s="536"/>
      <c r="P70" s="573"/>
      <c r="Q70" s="560"/>
      <c r="R70" s="537"/>
      <c r="S70" s="18"/>
      <c r="T70" s="16"/>
      <c r="U70" s="18"/>
      <c r="V70" s="16"/>
      <c r="W70" s="18"/>
      <c r="X70" s="16"/>
      <c r="Y70" s="18"/>
      <c r="Z70" s="10"/>
      <c r="AA70" s="561"/>
      <c r="AB70" s="562"/>
      <c r="AC70" s="563"/>
      <c r="AD70" s="562"/>
      <c r="AE70" s="563"/>
      <c r="AF70" s="562"/>
      <c r="AG70" s="563"/>
      <c r="AH70" s="562"/>
      <c r="AI70" s="564"/>
      <c r="AJ70" s="565"/>
      <c r="AK70" s="566"/>
      <c r="AL70" s="565"/>
      <c r="AM70" s="565"/>
      <c r="AN70" s="565"/>
      <c r="AO70" s="565"/>
      <c r="AP70" s="565"/>
      <c r="AQ70" s="565"/>
      <c r="AR70" s="492"/>
      <c r="AS70" s="493"/>
      <c r="AT70" s="493"/>
      <c r="AU70" s="493"/>
      <c r="AV70" s="493"/>
      <c r="AW70" s="493"/>
      <c r="AX70" s="493"/>
      <c r="AY70" s="494"/>
      <c r="AZ70" s="96"/>
      <c r="BA70" s="9"/>
      <c r="BB70" s="9"/>
      <c r="BC70" s="126"/>
      <c r="BD70" s="126"/>
      <c r="BE70" s="126"/>
      <c r="BF70" s="129"/>
      <c r="BG70" s="129"/>
      <c r="BH70" s="129"/>
      <c r="BI70" s="129"/>
      <c r="BJ70" s="126"/>
      <c r="BK70" s="125"/>
      <c r="BL70" s="21"/>
      <c r="BM70" s="127"/>
      <c r="BN70" s="511"/>
      <c r="BO70" s="514"/>
      <c r="BP70" s="513"/>
      <c r="BQ70" s="107"/>
      <c r="BR70" s="108"/>
      <c r="BS70" s="498"/>
      <c r="BT70" s="106"/>
      <c r="BU70" s="105"/>
      <c r="BV70" s="499"/>
      <c r="BW70" s="498"/>
      <c r="BX70" s="105"/>
      <c r="BY70" s="105"/>
      <c r="BZ70" s="499"/>
      <c r="CA70" s="257"/>
      <c r="CB70" s="94"/>
      <c r="CC70" s="495"/>
      <c r="CD70" s="94"/>
      <c r="CE70" s="95"/>
      <c r="CF70" s="52"/>
    </row>
    <row r="71" spans="1:99" ht="30" customHeight="1" thickBot="1" x14ac:dyDescent="0.35">
      <c r="A71" s="61" t="s">
        <v>446</v>
      </c>
      <c r="B71" s="502" t="s">
        <v>383</v>
      </c>
      <c r="C71" s="502" t="s">
        <v>383</v>
      </c>
      <c r="D71" s="209" t="s">
        <v>440</v>
      </c>
      <c r="E71" s="209" t="s">
        <v>385</v>
      </c>
      <c r="F71" s="503"/>
      <c r="G71" s="503"/>
      <c r="H71" s="504"/>
      <c r="I71" s="503"/>
      <c r="J71" s="503"/>
      <c r="K71" s="503"/>
      <c r="L71" s="503"/>
      <c r="M71" s="503"/>
      <c r="N71" s="503"/>
      <c r="O71" s="503"/>
      <c r="P71" s="574"/>
      <c r="Q71" s="510"/>
      <c r="R71" s="538"/>
      <c r="S71" s="569"/>
      <c r="T71" s="569"/>
      <c r="U71" s="569"/>
      <c r="V71" s="569"/>
      <c r="W71" s="569"/>
      <c r="X71" s="569"/>
      <c r="Y71" s="569"/>
      <c r="Z71" s="569"/>
      <c r="AA71" s="569"/>
      <c r="AB71" s="569"/>
      <c r="AC71" s="569"/>
      <c r="AD71" s="569"/>
      <c r="AE71" s="569"/>
      <c r="AF71" s="569"/>
      <c r="AG71" s="569"/>
      <c r="AH71" s="569"/>
      <c r="AI71" s="569"/>
      <c r="AJ71" s="575"/>
      <c r="AK71" s="504"/>
      <c r="AL71" s="575"/>
      <c r="AM71" s="504"/>
      <c r="AN71" s="575"/>
      <c r="AO71" s="504"/>
      <c r="AP71" s="575"/>
      <c r="AQ71" s="504"/>
      <c r="AR71" s="492"/>
      <c r="AS71" s="493"/>
      <c r="AT71" s="493"/>
      <c r="AU71" s="493"/>
      <c r="AV71" s="493"/>
      <c r="AW71" s="493"/>
      <c r="AX71" s="493"/>
      <c r="AY71" s="494"/>
      <c r="AZ71" s="96"/>
      <c r="BA71" s="9"/>
      <c r="BB71" s="9"/>
      <c r="BC71" s="126"/>
      <c r="BD71" s="126"/>
      <c r="BE71" s="126"/>
      <c r="BF71" s="129"/>
      <c r="BG71" s="129"/>
      <c r="BH71" s="129"/>
      <c r="BI71" s="129"/>
      <c r="BJ71" s="126"/>
      <c r="BK71" s="125"/>
      <c r="BL71" s="21"/>
      <c r="BM71" s="127"/>
      <c r="BN71" s="515"/>
      <c r="BO71" s="516"/>
      <c r="BP71" s="517"/>
      <c r="BQ71" s="107"/>
      <c r="BR71" s="108"/>
      <c r="BS71" s="114"/>
      <c r="BT71" s="37"/>
      <c r="BU71" s="115"/>
      <c r="BV71" s="239"/>
      <c r="BW71" s="505"/>
      <c r="BX71" s="506"/>
      <c r="BY71" s="506"/>
      <c r="BZ71" s="507"/>
      <c r="CA71" s="257"/>
      <c r="CB71" s="94"/>
      <c r="CC71" s="495"/>
      <c r="CD71" s="94"/>
      <c r="CE71" s="95"/>
      <c r="CF71" s="52"/>
    </row>
    <row r="72" spans="1:99" ht="15" thickBot="1" x14ac:dyDescent="0.35">
      <c r="A72" s="372" t="s">
        <v>31</v>
      </c>
      <c r="B72" s="910"/>
      <c r="C72" s="911"/>
      <c r="D72" s="911"/>
      <c r="E72" s="911"/>
      <c r="F72" s="911"/>
      <c r="G72" s="911"/>
      <c r="H72" s="912"/>
      <c r="I72" s="47"/>
      <c r="J72" s="47"/>
      <c r="K72" s="47"/>
      <c r="L72" s="47"/>
      <c r="M72" s="47"/>
      <c r="N72" s="48"/>
      <c r="O72" s="48"/>
      <c r="P72" s="48"/>
      <c r="Q72" s="49"/>
      <c r="R72" s="140"/>
      <c r="S72" s="231">
        <f>SUM(S15:S71)</f>
        <v>0</v>
      </c>
      <c r="T72" s="547">
        <f t="shared" ref="T72:AS72" si="1">SUM(T15:T71)</f>
        <v>0</v>
      </c>
      <c r="U72" s="547">
        <f t="shared" si="1"/>
        <v>0</v>
      </c>
      <c r="V72" s="547">
        <f t="shared" si="1"/>
        <v>0</v>
      </c>
      <c r="W72" s="547">
        <f t="shared" si="1"/>
        <v>0</v>
      </c>
      <c r="X72" s="547">
        <f t="shared" si="1"/>
        <v>0</v>
      </c>
      <c r="Y72" s="547">
        <f t="shared" si="1"/>
        <v>0</v>
      </c>
      <c r="Z72" s="548">
        <f t="shared" si="1"/>
        <v>0</v>
      </c>
      <c r="AA72" s="231">
        <f t="shared" si="1"/>
        <v>0</v>
      </c>
      <c r="AB72" s="547">
        <f t="shared" si="1"/>
        <v>0</v>
      </c>
      <c r="AC72" s="547">
        <f t="shared" si="1"/>
        <v>0</v>
      </c>
      <c r="AD72" s="547">
        <f t="shared" si="1"/>
        <v>0</v>
      </c>
      <c r="AE72" s="547">
        <f t="shared" si="1"/>
        <v>0</v>
      </c>
      <c r="AF72" s="547">
        <f t="shared" si="1"/>
        <v>0</v>
      </c>
      <c r="AG72" s="547">
        <f t="shared" si="1"/>
        <v>0</v>
      </c>
      <c r="AH72" s="547">
        <f t="shared" si="1"/>
        <v>0</v>
      </c>
      <c r="AI72" s="50">
        <f t="shared" si="1"/>
        <v>0</v>
      </c>
      <c r="AJ72" s="576">
        <f t="shared" si="1"/>
        <v>0</v>
      </c>
      <c r="AK72" s="577">
        <f t="shared" si="1"/>
        <v>0</v>
      </c>
      <c r="AL72" s="577">
        <f t="shared" si="1"/>
        <v>0</v>
      </c>
      <c r="AM72" s="577">
        <f t="shared" si="1"/>
        <v>0</v>
      </c>
      <c r="AN72" s="577">
        <f t="shared" si="1"/>
        <v>0</v>
      </c>
      <c r="AO72" s="577">
        <f t="shared" si="1"/>
        <v>0</v>
      </c>
      <c r="AP72" s="577">
        <f t="shared" si="1"/>
        <v>0</v>
      </c>
      <c r="AQ72" s="578">
        <f t="shared" si="1"/>
        <v>0</v>
      </c>
      <c r="AR72" s="231">
        <f t="shared" si="1"/>
        <v>0</v>
      </c>
      <c r="AS72" s="547">
        <f t="shared" si="1"/>
        <v>0</v>
      </c>
      <c r="AT72" s="98"/>
      <c r="AU72" s="547">
        <f t="shared" ref="AU72:AX72" si="2">SUM(AU15:AU71)</f>
        <v>0</v>
      </c>
      <c r="AV72" s="547">
        <f t="shared" si="2"/>
        <v>0</v>
      </c>
      <c r="AW72" s="547">
        <f t="shared" si="2"/>
        <v>0</v>
      </c>
      <c r="AX72" s="547">
        <f t="shared" si="2"/>
        <v>0</v>
      </c>
      <c r="AY72" s="98"/>
      <c r="AZ72" s="231">
        <f t="shared" ref="AZ72:BE72" si="3">SUM(AZ15:AZ71)</f>
        <v>0</v>
      </c>
      <c r="BA72" s="547">
        <f t="shared" si="3"/>
        <v>0</v>
      </c>
      <c r="BB72" s="547">
        <f t="shared" si="3"/>
        <v>0</v>
      </c>
      <c r="BC72" s="547">
        <f t="shared" si="3"/>
        <v>0</v>
      </c>
      <c r="BD72" s="547">
        <f t="shared" si="3"/>
        <v>0</v>
      </c>
      <c r="BE72" s="547">
        <f t="shared" si="3"/>
        <v>0</v>
      </c>
      <c r="BF72" s="98"/>
      <c r="BG72" s="98"/>
      <c r="BH72" s="547">
        <f t="shared" ref="BH72:BK72" si="4">SUM(BH15:BH71)</f>
        <v>0</v>
      </c>
      <c r="BI72" s="547">
        <f t="shared" si="4"/>
        <v>0</v>
      </c>
      <c r="BJ72" s="547">
        <f t="shared" si="4"/>
        <v>0</v>
      </c>
      <c r="BK72" s="548">
        <f t="shared" si="4"/>
        <v>0</v>
      </c>
      <c r="BL72" s="80"/>
      <c r="BM72" s="79"/>
      <c r="BN72" s="80"/>
      <c r="BO72" s="97"/>
      <c r="BP72" s="548">
        <f t="shared" ref="BP72:BQ72" si="5">SUM(BP15:BP71)</f>
        <v>0</v>
      </c>
      <c r="BQ72" s="231">
        <f t="shared" si="5"/>
        <v>0</v>
      </c>
      <c r="BR72" s="79"/>
      <c r="BS72" s="80"/>
      <c r="BT72" s="79"/>
      <c r="BU72" s="79"/>
      <c r="BV72" s="79"/>
      <c r="BW72" s="80"/>
      <c r="BX72" s="79"/>
      <c r="BY72" s="79"/>
      <c r="BZ72" s="51"/>
      <c r="CA72" s="85"/>
      <c r="CB72" s="231" t="e">
        <f>SUM(#REF!)</f>
        <v>#REF!</v>
      </c>
      <c r="CC72" s="548" t="e">
        <f>SUM(#REF!)</f>
        <v>#REF!</v>
      </c>
      <c r="CD72" s="231" t="e">
        <f>SUM(#REF!)</f>
        <v>#REF!</v>
      </c>
      <c r="CE72" s="548" t="e">
        <f>SUM(#REF!)</f>
        <v>#REF!</v>
      </c>
      <c r="CF72" s="539" t="e">
        <f>SUM(#REF!)</f>
        <v>#REF!</v>
      </c>
    </row>
    <row r="73" spans="1:99" x14ac:dyDescent="0.3">
      <c r="B73" s="6"/>
      <c r="C73" s="6"/>
      <c r="D73" s="7"/>
      <c r="E73" s="7"/>
      <c r="F73" s="124"/>
      <c r="G73" s="124"/>
      <c r="H73" s="7"/>
      <c r="I73" s="124"/>
      <c r="J73" s="124"/>
      <c r="K73" s="124"/>
      <c r="L73" s="124"/>
      <c r="M73" s="124"/>
      <c r="N73" s="580">
        <f>SUM(N15:N71)</f>
        <v>0</v>
      </c>
      <c r="P73" s="581">
        <f>SUM(P15:P70)</f>
        <v>0</v>
      </c>
      <c r="Q73" s="4"/>
      <c r="R73" s="4"/>
      <c r="S73" s="7"/>
      <c r="T73" s="7"/>
      <c r="U73" s="7"/>
      <c r="V73" s="7"/>
      <c r="W73" s="7"/>
      <c r="X73" s="7"/>
      <c r="Y73" s="7"/>
      <c r="Z73" s="7"/>
      <c r="AA73" s="7"/>
      <c r="AB73" s="7"/>
      <c r="AC73" s="7"/>
      <c r="AD73" s="7"/>
      <c r="AE73" s="7"/>
      <c r="AF73" s="7"/>
      <c r="AG73" s="7"/>
      <c r="AH73" s="7"/>
      <c r="AI73" s="7"/>
      <c r="AJ73" s="6"/>
      <c r="AK73" s="6"/>
      <c r="AL73" s="6"/>
      <c r="AM73" s="6"/>
      <c r="AN73" s="6"/>
      <c r="AO73" s="6"/>
      <c r="AP73" s="6"/>
      <c r="AQ73" s="6"/>
      <c r="AR73" s="6"/>
      <c r="AS73" s="6"/>
      <c r="AT73" s="6"/>
      <c r="AU73" s="6"/>
      <c r="AV73" s="6"/>
      <c r="AW73" s="6"/>
      <c r="AX73" s="6"/>
      <c r="AY73" s="6"/>
    </row>
    <row r="74" spans="1:99" x14ac:dyDescent="0.3">
      <c r="B74" s="6"/>
      <c r="C74" s="6"/>
      <c r="D74" s="7"/>
      <c r="E74" s="7"/>
      <c r="F74" s="124"/>
      <c r="G74" s="124"/>
      <c r="H74" s="7"/>
      <c r="I74" s="124"/>
      <c r="J74" s="124"/>
      <c r="K74" s="124"/>
      <c r="L74" s="124"/>
      <c r="M74" s="124"/>
      <c r="Q74" s="4"/>
      <c r="R74" s="4"/>
      <c r="S74" s="7"/>
      <c r="T74" s="7"/>
      <c r="U74" s="7"/>
      <c r="V74" s="7"/>
      <c r="W74" s="7"/>
      <c r="X74" s="7"/>
      <c r="Y74" s="7"/>
      <c r="Z74" s="7"/>
      <c r="AA74" s="7"/>
      <c r="AB74" s="7"/>
      <c r="AC74" s="7"/>
      <c r="AD74" s="7"/>
      <c r="AE74" s="7"/>
      <c r="AF74" s="7"/>
      <c r="AG74" s="7"/>
      <c r="AH74" s="7"/>
      <c r="AI74" s="7"/>
      <c r="AJ74" s="6"/>
      <c r="AK74" s="6"/>
      <c r="AL74" s="6"/>
      <c r="AM74" s="6"/>
      <c r="AN74" s="6"/>
      <c r="AO74" s="6"/>
      <c r="AP74" s="6"/>
      <c r="AQ74" s="6"/>
      <c r="AR74" s="6"/>
      <c r="AS74" s="6"/>
      <c r="AT74" s="6"/>
      <c r="AU74" s="6"/>
      <c r="AV74" s="6"/>
      <c r="AW74" s="6"/>
      <c r="AX74" s="6"/>
      <c r="AY74" s="6"/>
    </row>
    <row r="75" spans="1:99" x14ac:dyDescent="0.3">
      <c r="A75" s="150" t="s">
        <v>32</v>
      </c>
      <c r="B75" s="152"/>
      <c r="C75" s="151"/>
      <c r="D75" s="152"/>
      <c r="E75" s="152"/>
      <c r="F75" s="152"/>
      <c r="G75" s="152"/>
      <c r="H75" s="152"/>
      <c r="I75" s="152"/>
      <c r="J75" s="152"/>
      <c r="K75" s="152"/>
      <c r="L75" s="152"/>
      <c r="M75" s="152"/>
      <c r="N75" s="152"/>
      <c r="O75" s="152"/>
      <c r="P75" s="152"/>
      <c r="Q75" s="152"/>
      <c r="R75" s="152"/>
      <c r="S75" s="153"/>
      <c r="T75" s="218"/>
      <c r="U75" s="218"/>
      <c r="V75" s="218"/>
      <c r="BD75" s="340"/>
      <c r="BE75" s="340"/>
      <c r="BF75" s="72"/>
      <c r="BG75" s="72"/>
      <c r="BH75" s="340"/>
      <c r="BI75" s="340"/>
      <c r="BL75" s="886"/>
      <c r="BM75" s="886"/>
      <c r="BN75" s="886"/>
      <c r="BO75" s="886"/>
      <c r="BP75" s="886"/>
      <c r="BQ75" s="886"/>
      <c r="BR75" s="886"/>
      <c r="CC75" s="116"/>
      <c r="CD75" s="112"/>
      <c r="CE75" s="112"/>
      <c r="CF75" s="112"/>
      <c r="CG75" s="112"/>
      <c r="CH75" s="131"/>
      <c r="CI75" s="116"/>
      <c r="CJ75" s="116"/>
      <c r="CK75" s="116"/>
      <c r="CL75" s="116"/>
      <c r="CM75" s="116"/>
      <c r="CN75" s="116"/>
      <c r="CO75" s="116"/>
      <c r="CP75" s="116"/>
      <c r="CQ75" s="116"/>
      <c r="CR75" s="116"/>
      <c r="CS75" s="116"/>
      <c r="CT75" s="116"/>
      <c r="CU75" s="132"/>
    </row>
    <row r="76" spans="1:99" x14ac:dyDescent="0.3">
      <c r="A76" s="350" t="s">
        <v>33</v>
      </c>
      <c r="B76" s="158"/>
      <c r="C76" s="155"/>
      <c r="D76" s="158"/>
      <c r="E76" s="158"/>
      <c r="F76" s="158"/>
      <c r="G76" s="158"/>
      <c r="H76" s="158"/>
      <c r="I76" s="158"/>
      <c r="J76" s="158"/>
      <c r="K76" s="158"/>
      <c r="L76" s="158"/>
      <c r="M76" s="158"/>
      <c r="N76" s="158"/>
      <c r="O76" s="158"/>
      <c r="P76" s="158"/>
      <c r="Q76" s="158"/>
      <c r="R76" s="158"/>
      <c r="S76" s="156"/>
      <c r="T76" s="218"/>
      <c r="U76" s="218"/>
      <c r="V76" s="218"/>
      <c r="BL76" s="540"/>
      <c r="BM76" s="540"/>
      <c r="BN76" s="540"/>
      <c r="BO76" s="540"/>
      <c r="BP76" s="540"/>
      <c r="BQ76" s="540"/>
      <c r="BR76" s="540"/>
      <c r="CC76" s="116"/>
      <c r="CD76" s="112"/>
      <c r="CE76" s="112"/>
      <c r="CF76" s="112"/>
      <c r="CG76" s="112"/>
      <c r="CH76" s="131"/>
      <c r="CI76" s="116"/>
      <c r="CJ76" s="116"/>
      <c r="CK76" s="116"/>
      <c r="CL76" s="116"/>
      <c r="CM76" s="116"/>
      <c r="CN76" s="116"/>
      <c r="CO76" s="116"/>
      <c r="CP76" s="116"/>
      <c r="CQ76" s="116"/>
      <c r="CR76" s="116"/>
      <c r="CS76" s="116"/>
      <c r="CT76" s="116"/>
      <c r="CU76" s="132"/>
    </row>
    <row r="77" spans="1:99" x14ac:dyDescent="0.3">
      <c r="A77" s="154" t="s">
        <v>53</v>
      </c>
      <c r="B77" s="158"/>
      <c r="C77" s="155"/>
      <c r="D77" s="158"/>
      <c r="E77" s="158"/>
      <c r="F77" s="158"/>
      <c r="G77" s="158"/>
      <c r="H77" s="158"/>
      <c r="I77" s="158"/>
      <c r="J77" s="158"/>
      <c r="K77" s="158"/>
      <c r="L77" s="158"/>
      <c r="M77" s="158"/>
      <c r="N77" s="158"/>
      <c r="O77" s="158"/>
      <c r="P77" s="158"/>
      <c r="Q77" s="158"/>
      <c r="R77" s="158"/>
      <c r="S77" s="156"/>
      <c r="T77" s="218"/>
      <c r="U77" s="218"/>
      <c r="V77" s="218"/>
      <c r="BL77" s="99"/>
      <c r="BM77" s="99"/>
      <c r="BN77" s="99"/>
      <c r="BO77" s="99"/>
      <c r="BP77" s="99"/>
      <c r="BQ77" s="99"/>
      <c r="BR77" s="99"/>
      <c r="CC77" s="135"/>
      <c r="CD77" s="133"/>
      <c r="CE77" s="133"/>
      <c r="CF77" s="133"/>
      <c r="CG77" s="133"/>
      <c r="CH77" s="133"/>
      <c r="CI77" s="133"/>
      <c r="CJ77" s="133"/>
      <c r="CK77" s="133"/>
      <c r="CL77" s="133"/>
      <c r="CM77" s="133"/>
      <c r="CN77" s="133"/>
      <c r="CO77" s="133"/>
      <c r="CP77" s="133"/>
      <c r="CQ77" s="133"/>
      <c r="CR77" s="133"/>
      <c r="CS77" s="133"/>
      <c r="CT77" s="133"/>
      <c r="CU77" s="134"/>
    </row>
    <row r="78" spans="1:99" ht="15" customHeight="1" x14ac:dyDescent="0.3">
      <c r="A78" s="164" t="s">
        <v>148</v>
      </c>
      <c r="B78" s="158"/>
      <c r="C78" s="142"/>
      <c r="D78" s="142"/>
      <c r="E78" s="142"/>
      <c r="F78" s="142"/>
      <c r="G78" s="142"/>
      <c r="H78" s="142"/>
      <c r="I78" s="142"/>
      <c r="J78" s="142"/>
      <c r="K78" s="142"/>
      <c r="L78" s="142"/>
      <c r="M78" s="142"/>
      <c r="N78" s="142"/>
      <c r="O78" s="142"/>
      <c r="P78" s="142"/>
      <c r="Q78" s="142"/>
      <c r="R78" s="142"/>
      <c r="S78" s="156"/>
      <c r="T78" s="218"/>
      <c r="U78" s="218"/>
      <c r="V78" s="218"/>
      <c r="BN78" s="111"/>
      <c r="BO78" s="111"/>
      <c r="BP78" s="111"/>
      <c r="BQ78" s="111"/>
      <c r="BR78" s="111"/>
      <c r="BS78" s="111"/>
      <c r="BT78" s="111"/>
      <c r="BU78" s="70"/>
      <c r="BV78" s="70"/>
    </row>
    <row r="79" spans="1:99" ht="15" customHeight="1" x14ac:dyDescent="0.3">
      <c r="A79" s="164" t="s">
        <v>149</v>
      </c>
      <c r="B79" s="158"/>
      <c r="C79" s="142"/>
      <c r="D79" s="142"/>
      <c r="E79" s="142"/>
      <c r="F79" s="142"/>
      <c r="G79" s="142"/>
      <c r="H79" s="142"/>
      <c r="I79" s="142"/>
      <c r="J79" s="142"/>
      <c r="K79" s="142"/>
      <c r="L79" s="142"/>
      <c r="M79" s="142"/>
      <c r="N79" s="142"/>
      <c r="O79" s="142"/>
      <c r="P79" s="142"/>
      <c r="Q79" s="142"/>
      <c r="R79" s="142"/>
      <c r="S79" s="156"/>
      <c r="T79" s="218"/>
      <c r="U79" s="218"/>
      <c r="V79" s="218"/>
      <c r="BN79" s="111"/>
      <c r="BO79" s="111"/>
      <c r="BP79" s="111"/>
      <c r="BQ79" s="111"/>
      <c r="BR79" s="111"/>
      <c r="BS79" s="111"/>
      <c r="BT79" s="111"/>
      <c r="BU79" s="70"/>
      <c r="BV79" s="70"/>
    </row>
    <row r="80" spans="1:99" ht="15" customHeight="1" x14ac:dyDescent="0.3">
      <c r="A80" s="164" t="s">
        <v>150</v>
      </c>
      <c r="B80" s="158"/>
      <c r="C80" s="142"/>
      <c r="D80" s="142"/>
      <c r="E80" s="142"/>
      <c r="F80" s="142"/>
      <c r="G80" s="142"/>
      <c r="H80" s="142"/>
      <c r="I80" s="142"/>
      <c r="J80" s="142"/>
      <c r="K80" s="142"/>
      <c r="L80" s="142"/>
      <c r="M80" s="142"/>
      <c r="N80" s="142"/>
      <c r="O80" s="142"/>
      <c r="P80" s="142"/>
      <c r="Q80" s="141"/>
      <c r="R80" s="141"/>
      <c r="S80" s="156"/>
      <c r="T80" s="218"/>
      <c r="U80" s="218"/>
      <c r="V80" s="218"/>
      <c r="BN80" s="111"/>
      <c r="BO80" s="111"/>
      <c r="BP80" s="111"/>
      <c r="BQ80" s="111"/>
      <c r="BR80" s="111"/>
      <c r="BS80" s="111"/>
      <c r="BT80" s="111"/>
      <c r="BU80" s="70"/>
      <c r="BV80" s="70"/>
    </row>
    <row r="81" spans="1:83" x14ac:dyDescent="0.3">
      <c r="A81" s="154" t="s">
        <v>54</v>
      </c>
      <c r="B81" s="158"/>
      <c r="C81" s="155"/>
      <c r="D81" s="158"/>
      <c r="E81" s="158"/>
      <c r="F81" s="158"/>
      <c r="G81" s="158"/>
      <c r="H81" s="158"/>
      <c r="I81" s="158"/>
      <c r="J81" s="158"/>
      <c r="K81" s="158"/>
      <c r="L81" s="158"/>
      <c r="M81" s="158"/>
      <c r="N81" s="158"/>
      <c r="O81" s="158"/>
      <c r="P81" s="158"/>
      <c r="Q81" s="158"/>
      <c r="R81" s="158"/>
      <c r="S81" s="156"/>
      <c r="T81" s="218"/>
      <c r="U81" s="218"/>
      <c r="V81" s="218"/>
      <c r="AP81" s="71"/>
      <c r="AQ81" s="71"/>
      <c r="AR81" s="71"/>
      <c r="AS81" s="71"/>
      <c r="AT81" s="71"/>
      <c r="AU81" s="71"/>
      <c r="AV81" s="71"/>
      <c r="AW81" s="71"/>
      <c r="AX81" s="71"/>
      <c r="AY81" s="71"/>
      <c r="AZ81" s="82"/>
      <c r="BN81" s="70"/>
      <c r="BO81" s="70"/>
      <c r="BP81" s="70"/>
      <c r="BQ81" s="70"/>
      <c r="BR81" s="886"/>
      <c r="BS81" s="886"/>
      <c r="BT81" s="886"/>
      <c r="BU81" s="886"/>
      <c r="BV81" s="886"/>
      <c r="BW81" s="99"/>
      <c r="BX81" s="99"/>
      <c r="CA81" s="71"/>
      <c r="CB81" s="71"/>
      <c r="CC81" s="71"/>
      <c r="CD81" s="71"/>
      <c r="CE81" s="71"/>
    </row>
    <row r="82" spans="1:83" x14ac:dyDescent="0.3">
      <c r="A82" s="164" t="s">
        <v>151</v>
      </c>
      <c r="B82" s="158"/>
      <c r="C82" s="160"/>
      <c r="D82" s="160"/>
      <c r="E82" s="160"/>
      <c r="F82" s="160"/>
      <c r="G82" s="160"/>
      <c r="H82" s="160"/>
      <c r="I82" s="160"/>
      <c r="J82" s="160"/>
      <c r="K82" s="160"/>
      <c r="L82" s="160"/>
      <c r="M82" s="160"/>
      <c r="N82" s="160"/>
      <c r="O82" s="160"/>
      <c r="P82" s="160"/>
      <c r="Q82" s="160"/>
      <c r="R82" s="160"/>
      <c r="S82" s="156"/>
      <c r="T82" s="218"/>
      <c r="U82" s="218"/>
      <c r="V82" s="218"/>
    </row>
    <row r="83" spans="1:83" x14ac:dyDescent="0.3">
      <c r="A83" s="154" t="s">
        <v>152</v>
      </c>
      <c r="B83" s="158"/>
      <c r="C83" s="155"/>
      <c r="D83" s="158"/>
      <c r="E83" s="158"/>
      <c r="F83" s="158"/>
      <c r="G83" s="158"/>
      <c r="H83" s="158"/>
      <c r="I83" s="158"/>
      <c r="J83" s="158"/>
      <c r="K83" s="158"/>
      <c r="L83" s="158"/>
      <c r="M83" s="158"/>
      <c r="N83" s="158"/>
      <c r="O83" s="158"/>
      <c r="P83" s="158"/>
      <c r="Q83" s="158"/>
      <c r="R83" s="158"/>
      <c r="S83" s="156"/>
      <c r="T83" s="218"/>
      <c r="U83" s="218"/>
      <c r="V83" s="218"/>
    </row>
    <row r="84" spans="1:83" ht="15" customHeight="1" x14ac:dyDescent="0.3">
      <c r="A84" s="164" t="s">
        <v>153</v>
      </c>
      <c r="B84" s="158"/>
      <c r="C84" s="142"/>
      <c r="D84" s="142"/>
      <c r="E84" s="142"/>
      <c r="F84" s="142"/>
      <c r="G84" s="142"/>
      <c r="H84" s="142"/>
      <c r="I84" s="142"/>
      <c r="J84" s="142"/>
      <c r="K84" s="142"/>
      <c r="L84" s="142"/>
      <c r="M84" s="142"/>
      <c r="N84" s="142"/>
      <c r="O84" s="142"/>
      <c r="P84" s="142"/>
      <c r="Q84" s="142"/>
      <c r="R84" s="142"/>
      <c r="S84" s="156"/>
      <c r="T84" s="218"/>
      <c r="U84" s="218"/>
      <c r="V84" s="218"/>
    </row>
    <row r="85" spans="1:83" x14ac:dyDescent="0.3">
      <c r="A85" s="164" t="s">
        <v>154</v>
      </c>
      <c r="B85" s="158"/>
      <c r="C85" s="160"/>
      <c r="D85" s="160"/>
      <c r="E85" s="160"/>
      <c r="F85" s="160"/>
      <c r="G85" s="160"/>
      <c r="H85" s="160"/>
      <c r="I85" s="160"/>
      <c r="J85" s="160"/>
      <c r="K85" s="160"/>
      <c r="L85" s="160"/>
      <c r="M85" s="160"/>
      <c r="N85" s="160"/>
      <c r="O85" s="160"/>
      <c r="P85" s="160"/>
      <c r="Q85" s="160"/>
      <c r="R85" s="160"/>
      <c r="S85" s="156"/>
      <c r="T85" s="218"/>
      <c r="U85" s="218"/>
      <c r="V85" s="218"/>
    </row>
    <row r="86" spans="1:83" s="136" customFormat="1" x14ac:dyDescent="0.3">
      <c r="A86" s="154" t="s">
        <v>155</v>
      </c>
      <c r="B86" s="159"/>
      <c r="C86" s="155"/>
      <c r="D86" s="159"/>
      <c r="E86" s="159"/>
      <c r="F86" s="159"/>
      <c r="G86" s="159"/>
      <c r="H86" s="159"/>
      <c r="I86" s="159"/>
      <c r="J86" s="159"/>
      <c r="K86" s="159"/>
      <c r="L86" s="159"/>
      <c r="M86" s="159"/>
      <c r="N86" s="159"/>
      <c r="O86" s="159"/>
      <c r="P86" s="159"/>
      <c r="Q86" s="159"/>
      <c r="R86" s="159"/>
      <c r="S86" s="165"/>
      <c r="T86" s="351"/>
      <c r="U86" s="351"/>
      <c r="V86" s="351"/>
      <c r="AZ86" s="83"/>
    </row>
    <row r="87" spans="1:83" s="136" customFormat="1" x14ac:dyDescent="0.3">
      <c r="A87" s="164" t="s">
        <v>156</v>
      </c>
      <c r="B87" s="159"/>
      <c r="C87" s="142"/>
      <c r="D87" s="142"/>
      <c r="E87" s="142"/>
      <c r="F87" s="142"/>
      <c r="G87" s="142"/>
      <c r="H87" s="142"/>
      <c r="I87" s="142"/>
      <c r="J87" s="142"/>
      <c r="K87" s="142"/>
      <c r="L87" s="142"/>
      <c r="M87" s="142"/>
      <c r="N87" s="142"/>
      <c r="O87" s="142"/>
      <c r="P87" s="142"/>
      <c r="Q87" s="142"/>
      <c r="R87" s="142"/>
      <c r="S87" s="165"/>
      <c r="T87" s="351"/>
      <c r="U87" s="351"/>
      <c r="V87" s="351"/>
      <c r="AZ87" s="83"/>
    </row>
    <row r="88" spans="1:83" x14ac:dyDescent="0.3">
      <c r="A88" s="154" t="s">
        <v>157</v>
      </c>
      <c r="B88" s="158"/>
      <c r="C88" s="155"/>
      <c r="D88" s="158"/>
      <c r="E88" s="158"/>
      <c r="F88" s="158"/>
      <c r="G88" s="158"/>
      <c r="H88" s="158"/>
      <c r="I88" s="158"/>
      <c r="J88" s="158"/>
      <c r="K88" s="158"/>
      <c r="L88" s="158"/>
      <c r="M88" s="158"/>
      <c r="N88" s="158"/>
      <c r="O88" s="158"/>
      <c r="P88" s="158"/>
      <c r="Q88" s="158"/>
      <c r="R88" s="158"/>
      <c r="S88" s="156"/>
      <c r="T88" s="218"/>
      <c r="U88" s="218"/>
      <c r="V88" s="218"/>
    </row>
    <row r="89" spans="1:83" ht="15" customHeight="1" x14ac:dyDescent="0.3">
      <c r="A89" s="164" t="s">
        <v>158</v>
      </c>
      <c r="B89" s="158"/>
      <c r="C89" s="142"/>
      <c r="D89" s="142"/>
      <c r="E89" s="142"/>
      <c r="F89" s="142"/>
      <c r="G89" s="142"/>
      <c r="H89" s="142"/>
      <c r="I89" s="142"/>
      <c r="J89" s="142"/>
      <c r="K89" s="142"/>
      <c r="L89" s="142"/>
      <c r="M89" s="142"/>
      <c r="N89" s="142"/>
      <c r="O89" s="142"/>
      <c r="P89" s="142"/>
      <c r="Q89" s="142"/>
      <c r="R89" s="142"/>
      <c r="S89" s="156"/>
      <c r="T89" s="218"/>
      <c r="U89" s="218"/>
      <c r="V89" s="218"/>
    </row>
    <row r="90" spans="1:83" ht="15" customHeight="1" x14ac:dyDescent="0.3">
      <c r="A90" s="164" t="s">
        <v>159</v>
      </c>
      <c r="B90" s="158"/>
      <c r="C90" s="142"/>
      <c r="D90" s="142"/>
      <c r="E90" s="142"/>
      <c r="F90" s="142"/>
      <c r="G90" s="142"/>
      <c r="H90" s="142"/>
      <c r="I90" s="142"/>
      <c r="J90" s="142"/>
      <c r="K90" s="142"/>
      <c r="L90" s="142"/>
      <c r="M90" s="142"/>
      <c r="N90" s="142"/>
      <c r="O90" s="142"/>
      <c r="P90" s="142"/>
      <c r="Q90" s="142"/>
      <c r="R90" s="142"/>
      <c r="S90" s="156"/>
      <c r="T90" s="218"/>
      <c r="U90" s="218"/>
      <c r="V90" s="218"/>
    </row>
    <row r="91" spans="1:83" ht="15" customHeight="1" x14ac:dyDescent="0.3">
      <c r="A91" s="164" t="s">
        <v>160</v>
      </c>
      <c r="B91" s="158"/>
      <c r="C91" s="142"/>
      <c r="D91" s="142"/>
      <c r="E91" s="142"/>
      <c r="F91" s="142"/>
      <c r="G91" s="142"/>
      <c r="H91" s="142"/>
      <c r="I91" s="142"/>
      <c r="J91" s="142"/>
      <c r="K91" s="142"/>
      <c r="L91" s="142"/>
      <c r="M91" s="142"/>
      <c r="N91" s="142"/>
      <c r="O91" s="142"/>
      <c r="P91" s="142"/>
      <c r="Q91" s="142"/>
      <c r="R91" s="142"/>
      <c r="S91" s="156"/>
      <c r="T91" s="218"/>
      <c r="U91" s="218"/>
      <c r="V91" s="218"/>
    </row>
    <row r="92" spans="1:83" ht="15" customHeight="1" x14ac:dyDescent="0.3">
      <c r="A92" s="166" t="s">
        <v>161</v>
      </c>
      <c r="B92" s="158"/>
      <c r="C92" s="161"/>
      <c r="D92" s="161"/>
      <c r="E92" s="161"/>
      <c r="F92" s="161"/>
      <c r="G92" s="161"/>
      <c r="H92" s="161"/>
      <c r="I92" s="161"/>
      <c r="J92" s="161"/>
      <c r="K92" s="161"/>
      <c r="L92" s="161"/>
      <c r="M92" s="161"/>
      <c r="N92" s="161"/>
      <c r="O92" s="161"/>
      <c r="P92" s="161"/>
      <c r="Q92" s="161"/>
      <c r="R92" s="161"/>
      <c r="S92" s="156"/>
      <c r="T92" s="218"/>
      <c r="U92" s="218"/>
      <c r="V92" s="218"/>
    </row>
    <row r="93" spans="1:83" x14ac:dyDescent="0.3">
      <c r="A93" s="157" t="s">
        <v>162</v>
      </c>
      <c r="B93" s="158"/>
      <c r="C93" s="155"/>
      <c r="D93" s="158"/>
      <c r="E93" s="158"/>
      <c r="F93" s="158"/>
      <c r="G93" s="158"/>
      <c r="H93" s="158"/>
      <c r="I93" s="158"/>
      <c r="J93" s="158"/>
      <c r="K93" s="158"/>
      <c r="L93" s="158"/>
      <c r="M93" s="158"/>
      <c r="N93" s="158"/>
      <c r="O93" s="158"/>
      <c r="P93" s="158"/>
      <c r="Q93" s="158"/>
      <c r="R93" s="158"/>
      <c r="S93" s="156"/>
      <c r="T93" s="218"/>
      <c r="U93" s="218"/>
      <c r="V93" s="218"/>
    </row>
    <row r="94" spans="1:83" x14ac:dyDescent="0.3">
      <c r="A94" s="166" t="s">
        <v>163</v>
      </c>
      <c r="B94" s="158"/>
      <c r="C94" s="161"/>
      <c r="D94" s="161"/>
      <c r="E94" s="161"/>
      <c r="F94" s="161"/>
      <c r="G94" s="161"/>
      <c r="H94" s="161"/>
      <c r="I94" s="161"/>
      <c r="J94" s="161"/>
      <c r="K94" s="161"/>
      <c r="L94" s="161"/>
      <c r="M94" s="161"/>
      <c r="N94" s="161"/>
      <c r="O94" s="161"/>
      <c r="P94" s="161"/>
      <c r="Q94" s="161"/>
      <c r="R94" s="161"/>
      <c r="S94" s="156"/>
      <c r="T94" s="218"/>
      <c r="U94" s="218"/>
      <c r="V94" s="218"/>
    </row>
    <row r="95" spans="1:83" x14ac:dyDescent="0.3">
      <c r="A95" s="166" t="s">
        <v>164</v>
      </c>
      <c r="B95" s="158"/>
      <c r="C95" s="162"/>
      <c r="D95" s="162"/>
      <c r="E95" s="162"/>
      <c r="F95" s="162"/>
      <c r="G95" s="162"/>
      <c r="H95" s="162"/>
      <c r="I95" s="162"/>
      <c r="J95" s="162"/>
      <c r="K95" s="162"/>
      <c r="L95" s="162"/>
      <c r="M95" s="162"/>
      <c r="N95" s="162"/>
      <c r="O95" s="162"/>
      <c r="P95" s="162"/>
      <c r="Q95" s="162"/>
      <c r="R95" s="162"/>
      <c r="S95" s="156"/>
      <c r="T95" s="218"/>
      <c r="U95" s="218"/>
      <c r="V95" s="218"/>
    </row>
    <row r="96" spans="1:83" x14ac:dyDescent="0.3">
      <c r="A96" s="167" t="s">
        <v>165</v>
      </c>
      <c r="B96" s="168"/>
      <c r="C96" s="144"/>
      <c r="D96" s="144"/>
      <c r="E96" s="144"/>
      <c r="F96" s="144"/>
      <c r="G96" s="144"/>
      <c r="H96" s="144"/>
      <c r="I96" s="144"/>
      <c r="J96" s="144"/>
      <c r="K96" s="144"/>
      <c r="L96" s="144"/>
      <c r="M96" s="144"/>
      <c r="N96" s="144"/>
      <c r="O96" s="144"/>
      <c r="P96" s="144"/>
      <c r="Q96" s="144"/>
      <c r="R96" s="144"/>
      <c r="S96" s="169"/>
      <c r="T96" s="218"/>
      <c r="U96" s="218"/>
      <c r="V96" s="218"/>
    </row>
    <row r="97" spans="3:3" x14ac:dyDescent="0.3">
      <c r="C97" s="72"/>
    </row>
  </sheetData>
  <mergeCells count="36">
    <mergeCell ref="B72:H72"/>
    <mergeCell ref="AG13:AH13"/>
    <mergeCell ref="AP13:AQ13"/>
    <mergeCell ref="BS13:BZ13"/>
    <mergeCell ref="S13:T13"/>
    <mergeCell ref="U13:V13"/>
    <mergeCell ref="W13:X13"/>
    <mergeCell ref="Y13:Z13"/>
    <mergeCell ref="AA13:AB13"/>
    <mergeCell ref="AJ13:AK13"/>
    <mergeCell ref="AL13:AM13"/>
    <mergeCell ref="AN13:AO13"/>
    <mergeCell ref="A11:H13"/>
    <mergeCell ref="I11:P13"/>
    <mergeCell ref="Q11:R13"/>
    <mergeCell ref="AZ12:BK13"/>
    <mergeCell ref="BR81:BV81"/>
    <mergeCell ref="CA11:CF11"/>
    <mergeCell ref="BN12:BP13"/>
    <mergeCell ref="BQ12:BR13"/>
    <mergeCell ref="BS12:BZ12"/>
    <mergeCell ref="CA12:CC12"/>
    <mergeCell ref="CD12:CE12"/>
    <mergeCell ref="CF12:CF13"/>
    <mergeCell ref="CB13:CC13"/>
    <mergeCell ref="CD13:CE13"/>
    <mergeCell ref="BL12:BM13"/>
    <mergeCell ref="AR11:AY13"/>
    <mergeCell ref="AZ11:BZ11"/>
    <mergeCell ref="AC13:AD13"/>
    <mergeCell ref="BL75:BR75"/>
    <mergeCell ref="AE13:AF13"/>
    <mergeCell ref="S11:AQ11"/>
    <mergeCell ref="S12:Z12"/>
    <mergeCell ref="AA12:AI12"/>
    <mergeCell ref="AJ12:AQ12"/>
  </mergeCells>
  <printOptions headings="1" gridLines="1"/>
  <pageMargins left="0.7" right="0.7" top="0.75" bottom="0.75" header="0.3" footer="0.3"/>
  <pageSetup scale="1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U97"/>
  <sheetViews>
    <sheetView topLeftCell="E4" zoomScaleNormal="100" workbookViewId="0">
      <selection activeCell="S57" sqref="S57"/>
    </sheetView>
  </sheetViews>
  <sheetFormatPr defaultColWidth="8.6640625" defaultRowHeight="14.4" x14ac:dyDescent="0.3"/>
  <cols>
    <col min="1" max="1" width="23.33203125" style="123" customWidth="1"/>
    <col min="2" max="4" width="15.6640625" style="123" customWidth="1"/>
    <col min="5" max="6" width="22" style="123" bestFit="1" customWidth="1"/>
    <col min="7" max="7" width="15.6640625" style="123" customWidth="1"/>
    <col min="8" max="8" width="18.88671875" style="123" customWidth="1"/>
    <col min="9" max="9" width="14.6640625" style="123" customWidth="1"/>
    <col min="10" max="13" width="12.6640625" style="123" customWidth="1"/>
    <col min="14" max="14" width="17.33203125" style="123" customWidth="1"/>
    <col min="15" max="15" width="15.5546875" style="123" customWidth="1"/>
    <col min="16" max="16" width="14.109375" style="123" customWidth="1"/>
    <col min="17" max="17" width="18.33203125" style="123" customWidth="1"/>
    <col min="18" max="18" width="17.5546875" style="123" customWidth="1"/>
    <col min="19" max="24" width="18.6640625" style="123" customWidth="1"/>
    <col min="25" max="26" width="18.44140625" style="123" customWidth="1"/>
    <col min="27" max="33" width="19.6640625" style="123" customWidth="1"/>
    <col min="34" max="34" width="21.33203125" style="123" customWidth="1"/>
    <col min="35" max="35" width="18.6640625" style="123" customWidth="1"/>
    <col min="36" max="41" width="19.6640625" style="123" customWidth="1"/>
    <col min="42" max="42" width="21.44140625" style="123" customWidth="1"/>
    <col min="43" max="43" width="22.6640625" style="123" bestFit="1" customWidth="1"/>
    <col min="44" max="51" width="19.6640625" style="123" customWidth="1"/>
    <col min="52" max="52" width="13.6640625" style="81" customWidth="1"/>
    <col min="53" max="54" width="13.6640625" style="123" customWidth="1"/>
    <col min="55" max="55" width="15.109375" style="123" customWidth="1"/>
    <col min="56" max="62" width="13.6640625" style="123" customWidth="1"/>
    <col min="63" max="63" width="18.88671875" style="123" customWidth="1"/>
    <col min="64" max="65" width="14.6640625" style="123" customWidth="1"/>
    <col min="66" max="70" width="15.6640625" style="123" customWidth="1"/>
    <col min="71" max="78" width="20.109375" style="123" customWidth="1"/>
    <col min="79" max="79" width="25.6640625" style="123" customWidth="1"/>
    <col min="80" max="80" width="17" style="123" customWidth="1"/>
    <col min="81" max="81" width="18.109375" style="123" customWidth="1"/>
    <col min="82" max="82" width="20.109375" style="123" customWidth="1"/>
    <col min="83" max="83" width="21.44140625" style="123" customWidth="1"/>
    <col min="84" max="84" width="14.44140625" style="123" customWidth="1"/>
    <col min="85" max="16384" width="8.6640625" style="123"/>
  </cols>
  <sheetData>
    <row r="1" spans="1:84" ht="21.75" customHeight="1" x14ac:dyDescent="0.35">
      <c r="A1" s="1" t="s">
        <v>168</v>
      </c>
      <c r="B1" s="1" t="s">
        <v>46</v>
      </c>
      <c r="C1" s="139"/>
      <c r="D1" s="250" t="s">
        <v>2</v>
      </c>
      <c r="E1" s="250" t="s">
        <v>69</v>
      </c>
      <c r="G1" s="1"/>
      <c r="H1" s="1"/>
      <c r="S1" s="23"/>
      <c r="T1" s="24"/>
      <c r="U1" s="23"/>
      <c r="V1" s="23"/>
      <c r="W1" s="23"/>
      <c r="X1" s="23"/>
      <c r="AA1" s="23"/>
      <c r="AB1" s="23"/>
      <c r="AC1" s="23"/>
      <c r="AD1" s="23"/>
      <c r="AE1" s="23"/>
      <c r="AF1" s="23"/>
      <c r="AG1" s="23"/>
      <c r="AH1" s="23"/>
      <c r="AI1" s="23"/>
      <c r="AJ1" s="23"/>
      <c r="AK1" s="23"/>
      <c r="AL1" s="23"/>
      <c r="AM1" s="23"/>
      <c r="AN1" s="23"/>
      <c r="AO1" s="23"/>
      <c r="AP1" s="23"/>
    </row>
    <row r="2" spans="1:84" x14ac:dyDescent="0.3">
      <c r="A2" s="2"/>
      <c r="B2" s="2"/>
      <c r="C2" s="2"/>
      <c r="D2" s="250" t="s">
        <v>4</v>
      </c>
      <c r="E2" s="265">
        <v>2025</v>
      </c>
    </row>
    <row r="3" spans="1:84" x14ac:dyDescent="0.3">
      <c r="B3" s="2"/>
      <c r="C3" s="2"/>
      <c r="D3" s="2"/>
      <c r="E3" s="2"/>
    </row>
    <row r="4" spans="1:84" ht="15" customHeight="1" x14ac:dyDescent="0.3">
      <c r="A4" s="181" t="s">
        <v>47</v>
      </c>
      <c r="B4" s="152"/>
      <c r="C4" s="146"/>
      <c r="D4" s="146"/>
      <c r="E4" s="146"/>
      <c r="F4" s="147"/>
      <c r="G4" s="148"/>
      <c r="H4" s="148"/>
      <c r="I4" s="148"/>
      <c r="J4" s="148"/>
      <c r="K4" s="148"/>
      <c r="L4" s="148"/>
      <c r="M4" s="124"/>
      <c r="N4" s="124"/>
      <c r="O4" s="124"/>
      <c r="P4" s="124"/>
      <c r="Q4" s="124"/>
    </row>
    <row r="5" spans="1:84" ht="15" customHeight="1" x14ac:dyDescent="0.3">
      <c r="A5" s="164" t="s">
        <v>48</v>
      </c>
      <c r="B5" s="158"/>
      <c r="C5" s="142"/>
      <c r="D5" s="142"/>
      <c r="E5" s="142"/>
      <c r="F5" s="143"/>
      <c r="G5" s="71"/>
      <c r="H5" s="71"/>
      <c r="I5" s="71"/>
      <c r="J5" s="71"/>
      <c r="K5" s="71"/>
      <c r="L5" s="71"/>
    </row>
    <row r="6" spans="1:84" ht="15" customHeight="1" x14ac:dyDescent="0.3">
      <c r="A6" s="164" t="s">
        <v>49</v>
      </c>
      <c r="B6" s="158"/>
      <c r="C6" s="142"/>
      <c r="D6" s="142"/>
      <c r="E6" s="142"/>
      <c r="F6" s="143"/>
      <c r="G6" s="71"/>
      <c r="H6" s="71"/>
      <c r="I6" s="71"/>
      <c r="J6" s="71"/>
      <c r="K6" s="71"/>
      <c r="L6" s="71"/>
      <c r="T6" s="39"/>
      <c r="U6" s="39"/>
      <c r="V6" s="39"/>
    </row>
    <row r="7" spans="1:84" ht="15" customHeight="1" x14ac:dyDescent="0.3">
      <c r="A7" s="164" t="s">
        <v>50</v>
      </c>
      <c r="B7" s="158"/>
      <c r="C7" s="142"/>
      <c r="D7" s="142"/>
      <c r="E7" s="142"/>
      <c r="F7" s="143"/>
      <c r="G7" s="71"/>
      <c r="H7" s="71"/>
      <c r="I7" s="71"/>
      <c r="J7" s="71"/>
      <c r="K7" s="71"/>
      <c r="L7" s="71"/>
      <c r="T7" s="39"/>
      <c r="U7" s="39"/>
      <c r="V7" s="39"/>
    </row>
    <row r="8" spans="1:84" ht="15" customHeight="1" x14ac:dyDescent="0.3">
      <c r="A8" s="164" t="s">
        <v>51</v>
      </c>
      <c r="B8" s="158"/>
      <c r="C8" s="142"/>
      <c r="D8" s="142"/>
      <c r="E8" s="142"/>
      <c r="F8" s="143"/>
      <c r="G8" s="71"/>
      <c r="H8" s="71"/>
      <c r="I8" s="71"/>
      <c r="J8" s="71"/>
      <c r="K8" s="71"/>
      <c r="L8" s="71"/>
      <c r="T8" s="39"/>
      <c r="U8" s="39"/>
      <c r="V8" s="39"/>
    </row>
    <row r="9" spans="1:84" ht="15" customHeight="1" x14ac:dyDescent="0.3">
      <c r="A9" s="167" t="s">
        <v>52</v>
      </c>
      <c r="B9" s="168"/>
      <c r="C9" s="144"/>
      <c r="D9" s="144"/>
      <c r="E9" s="144"/>
      <c r="F9" s="145"/>
      <c r="G9" s="71"/>
      <c r="H9" s="71"/>
      <c r="I9" s="71"/>
      <c r="J9" s="71"/>
      <c r="K9" s="71"/>
      <c r="L9" s="71"/>
      <c r="T9" s="39"/>
      <c r="U9" s="39"/>
      <c r="V9" s="39"/>
    </row>
    <row r="10" spans="1:84" ht="15" thickBot="1" x14ac:dyDescent="0.35"/>
    <row r="11" spans="1:84" ht="15" thickBot="1" x14ac:dyDescent="0.35">
      <c r="A11" s="917" t="s">
        <v>53</v>
      </c>
      <c r="B11" s="918"/>
      <c r="C11" s="918"/>
      <c r="D11" s="918"/>
      <c r="E11" s="918"/>
      <c r="F11" s="918"/>
      <c r="G11" s="918"/>
      <c r="H11" s="919"/>
      <c r="I11" s="941" t="s">
        <v>54</v>
      </c>
      <c r="J11" s="941"/>
      <c r="K11" s="941"/>
      <c r="L11" s="941"/>
      <c r="M11" s="941"/>
      <c r="N11" s="941"/>
      <c r="O11" s="941"/>
      <c r="P11" s="942"/>
      <c r="Q11" s="932" t="s">
        <v>55</v>
      </c>
      <c r="R11" s="933"/>
      <c r="S11" s="947" t="s">
        <v>56</v>
      </c>
      <c r="T11" s="948"/>
      <c r="U11" s="948"/>
      <c r="V11" s="948"/>
      <c r="W11" s="948"/>
      <c r="X11" s="948"/>
      <c r="Y11" s="948"/>
      <c r="Z11" s="948"/>
      <c r="AA11" s="948"/>
      <c r="AB11" s="948"/>
      <c r="AC11" s="948"/>
      <c r="AD11" s="948"/>
      <c r="AE11" s="948"/>
      <c r="AF11" s="948"/>
      <c r="AG11" s="948"/>
      <c r="AH11" s="948"/>
      <c r="AI11" s="948"/>
      <c r="AJ11" s="948"/>
      <c r="AK11" s="948"/>
      <c r="AL11" s="948"/>
      <c r="AM11" s="948"/>
      <c r="AN11" s="948"/>
      <c r="AO11" s="948"/>
      <c r="AP11" s="948"/>
      <c r="AQ11" s="949"/>
      <c r="AR11" s="923" t="s">
        <v>333</v>
      </c>
      <c r="AS11" s="924"/>
      <c r="AT11" s="924"/>
      <c r="AU11" s="924"/>
      <c r="AV11" s="924"/>
      <c r="AW11" s="924"/>
      <c r="AX11" s="924"/>
      <c r="AY11" s="925"/>
      <c r="AZ11" s="901" t="s">
        <v>57</v>
      </c>
      <c r="BA11" s="902"/>
      <c r="BB11" s="902"/>
      <c r="BC11" s="902"/>
      <c r="BD11" s="902"/>
      <c r="BE11" s="902"/>
      <c r="BF11" s="902"/>
      <c r="BG11" s="902"/>
      <c r="BH11" s="902"/>
      <c r="BI11" s="902"/>
      <c r="BJ11" s="902"/>
      <c r="BK11" s="902"/>
      <c r="BL11" s="902"/>
      <c r="BM11" s="902"/>
      <c r="BN11" s="902"/>
      <c r="BO11" s="902"/>
      <c r="BP11" s="902"/>
      <c r="BQ11" s="902"/>
      <c r="BR11" s="902"/>
      <c r="BS11" s="902"/>
      <c r="BT11" s="902"/>
      <c r="BU11" s="902"/>
      <c r="BV11" s="902"/>
      <c r="BW11" s="902"/>
      <c r="BX11" s="902"/>
      <c r="BY11" s="902"/>
      <c r="BZ11" s="903"/>
      <c r="CA11" s="887" t="s">
        <v>58</v>
      </c>
      <c r="CB11" s="888"/>
      <c r="CC11" s="888"/>
      <c r="CD11" s="888"/>
      <c r="CE11" s="888"/>
      <c r="CF11" s="889"/>
    </row>
    <row r="12" spans="1:84" ht="15.75" customHeight="1" thickBot="1" x14ac:dyDescent="0.35">
      <c r="A12" s="920"/>
      <c r="B12" s="921"/>
      <c r="C12" s="921"/>
      <c r="D12" s="921"/>
      <c r="E12" s="921"/>
      <c r="F12" s="921"/>
      <c r="G12" s="921"/>
      <c r="H12" s="922"/>
      <c r="I12" s="943"/>
      <c r="J12" s="943"/>
      <c r="K12" s="943"/>
      <c r="L12" s="943"/>
      <c r="M12" s="943"/>
      <c r="N12" s="943"/>
      <c r="O12" s="943"/>
      <c r="P12" s="944"/>
      <c r="Q12" s="934"/>
      <c r="R12" s="935"/>
      <c r="S12" s="938" t="s">
        <v>59</v>
      </c>
      <c r="T12" s="939"/>
      <c r="U12" s="939"/>
      <c r="V12" s="939"/>
      <c r="W12" s="939"/>
      <c r="X12" s="939"/>
      <c r="Y12" s="939"/>
      <c r="Z12" s="940"/>
      <c r="AA12" s="938" t="s">
        <v>60</v>
      </c>
      <c r="AB12" s="939"/>
      <c r="AC12" s="939"/>
      <c r="AD12" s="939"/>
      <c r="AE12" s="939"/>
      <c r="AF12" s="939"/>
      <c r="AG12" s="939"/>
      <c r="AH12" s="939"/>
      <c r="AI12" s="940"/>
      <c r="AJ12" s="950" t="s">
        <v>61</v>
      </c>
      <c r="AK12" s="951"/>
      <c r="AL12" s="951"/>
      <c r="AM12" s="951"/>
      <c r="AN12" s="951"/>
      <c r="AO12" s="951"/>
      <c r="AP12" s="951"/>
      <c r="AQ12" s="952"/>
      <c r="AR12" s="926"/>
      <c r="AS12" s="927"/>
      <c r="AT12" s="927"/>
      <c r="AU12" s="927"/>
      <c r="AV12" s="927"/>
      <c r="AW12" s="927"/>
      <c r="AX12" s="927"/>
      <c r="AY12" s="928"/>
      <c r="AZ12" s="887" t="s">
        <v>62</v>
      </c>
      <c r="BA12" s="904"/>
      <c r="BB12" s="904"/>
      <c r="BC12" s="904"/>
      <c r="BD12" s="904"/>
      <c r="BE12" s="904"/>
      <c r="BF12" s="904"/>
      <c r="BG12" s="904"/>
      <c r="BH12" s="904"/>
      <c r="BI12" s="904"/>
      <c r="BJ12" s="904"/>
      <c r="BK12" s="905"/>
      <c r="BL12" s="895" t="s">
        <v>63</v>
      </c>
      <c r="BM12" s="896"/>
      <c r="BN12" s="895" t="s">
        <v>64</v>
      </c>
      <c r="BO12" s="896"/>
      <c r="BP12" s="897"/>
      <c r="BQ12" s="895" t="s">
        <v>65</v>
      </c>
      <c r="BR12" s="897"/>
      <c r="BS12" s="890" t="s">
        <v>66</v>
      </c>
      <c r="BT12" s="909"/>
      <c r="BU12" s="909"/>
      <c r="BV12" s="909"/>
      <c r="BW12" s="909"/>
      <c r="BX12" s="909"/>
      <c r="BY12" s="909"/>
      <c r="BZ12" s="909"/>
      <c r="CA12" s="890" t="s">
        <v>67</v>
      </c>
      <c r="CB12" s="892"/>
      <c r="CC12" s="892"/>
      <c r="CD12" s="890" t="s">
        <v>68</v>
      </c>
      <c r="CE12" s="870"/>
      <c r="CF12" s="893" t="s">
        <v>69</v>
      </c>
    </row>
    <row r="13" spans="1:84" ht="29.4" thickBot="1" x14ac:dyDescent="0.35">
      <c r="A13" s="920"/>
      <c r="B13" s="921"/>
      <c r="C13" s="921"/>
      <c r="D13" s="921"/>
      <c r="E13" s="921"/>
      <c r="F13" s="921"/>
      <c r="G13" s="921"/>
      <c r="H13" s="922"/>
      <c r="I13" s="945"/>
      <c r="J13" s="945"/>
      <c r="K13" s="945"/>
      <c r="L13" s="945"/>
      <c r="M13" s="945"/>
      <c r="N13" s="945"/>
      <c r="O13" s="945"/>
      <c r="P13" s="946"/>
      <c r="Q13" s="936"/>
      <c r="R13" s="937"/>
      <c r="S13" s="915" t="s">
        <v>461</v>
      </c>
      <c r="T13" s="916"/>
      <c r="U13" s="913" t="s">
        <v>462</v>
      </c>
      <c r="V13" s="916"/>
      <c r="W13" s="913" t="s">
        <v>463</v>
      </c>
      <c r="X13" s="914"/>
      <c r="Y13" s="913" t="s">
        <v>464</v>
      </c>
      <c r="Z13" s="914"/>
      <c r="AA13" s="915" t="s">
        <v>70</v>
      </c>
      <c r="AB13" s="916"/>
      <c r="AC13" s="913" t="s">
        <v>71</v>
      </c>
      <c r="AD13" s="916"/>
      <c r="AE13" s="913" t="s">
        <v>72</v>
      </c>
      <c r="AF13" s="914"/>
      <c r="AG13" s="953" t="s">
        <v>73</v>
      </c>
      <c r="AH13" s="892"/>
      <c r="AI13" s="149" t="s">
        <v>74</v>
      </c>
      <c r="AJ13" s="915" t="s">
        <v>70</v>
      </c>
      <c r="AK13" s="916"/>
      <c r="AL13" s="913" t="s">
        <v>71</v>
      </c>
      <c r="AM13" s="916"/>
      <c r="AN13" s="913" t="s">
        <v>72</v>
      </c>
      <c r="AO13" s="914"/>
      <c r="AP13" s="953" t="s">
        <v>73</v>
      </c>
      <c r="AQ13" s="892"/>
      <c r="AR13" s="929"/>
      <c r="AS13" s="930"/>
      <c r="AT13" s="930"/>
      <c r="AU13" s="930"/>
      <c r="AV13" s="930"/>
      <c r="AW13" s="930"/>
      <c r="AX13" s="930"/>
      <c r="AY13" s="931"/>
      <c r="AZ13" s="906"/>
      <c r="BA13" s="907"/>
      <c r="BB13" s="907"/>
      <c r="BC13" s="907"/>
      <c r="BD13" s="907"/>
      <c r="BE13" s="907"/>
      <c r="BF13" s="907"/>
      <c r="BG13" s="907"/>
      <c r="BH13" s="907"/>
      <c r="BI13" s="907"/>
      <c r="BJ13" s="907"/>
      <c r="BK13" s="908"/>
      <c r="BL13" s="898"/>
      <c r="BM13" s="899"/>
      <c r="BN13" s="898"/>
      <c r="BO13" s="899"/>
      <c r="BP13" s="900"/>
      <c r="BQ13" s="898"/>
      <c r="BR13" s="900"/>
      <c r="BS13" s="895" t="s">
        <v>75</v>
      </c>
      <c r="BT13" s="896"/>
      <c r="BU13" s="896"/>
      <c r="BV13" s="896"/>
      <c r="BW13" s="896"/>
      <c r="BX13" s="896"/>
      <c r="BY13" s="896"/>
      <c r="BZ13" s="896"/>
      <c r="CA13" s="541" t="s">
        <v>76</v>
      </c>
      <c r="CB13" s="890" t="s">
        <v>77</v>
      </c>
      <c r="CC13" s="891"/>
      <c r="CD13" s="890" t="s">
        <v>78</v>
      </c>
      <c r="CE13" s="891"/>
      <c r="CF13" s="894"/>
    </row>
    <row r="14" spans="1:84" ht="72.599999999999994" thickBot="1" x14ac:dyDescent="0.35">
      <c r="A14" s="343" t="s">
        <v>2</v>
      </c>
      <c r="B14" s="344" t="s">
        <v>12</v>
      </c>
      <c r="C14" s="344" t="s">
        <v>13</v>
      </c>
      <c r="D14" s="102" t="s">
        <v>14</v>
      </c>
      <c r="E14" s="102" t="s">
        <v>15</v>
      </c>
      <c r="F14" s="102" t="s">
        <v>16</v>
      </c>
      <c r="G14" s="102" t="s">
        <v>17</v>
      </c>
      <c r="H14" s="348" t="s">
        <v>18</v>
      </c>
      <c r="I14" s="243" t="s">
        <v>79</v>
      </c>
      <c r="J14" s="244" t="s">
        <v>80</v>
      </c>
      <c r="K14" s="244" t="s">
        <v>81</v>
      </c>
      <c r="L14" s="244" t="s">
        <v>82</v>
      </c>
      <c r="M14" s="244" t="s">
        <v>83</v>
      </c>
      <c r="N14" s="244" t="s">
        <v>84</v>
      </c>
      <c r="O14" s="244" t="s">
        <v>85</v>
      </c>
      <c r="P14" s="244" t="s">
        <v>86</v>
      </c>
      <c r="Q14" s="245" t="s">
        <v>87</v>
      </c>
      <c r="R14" s="246" t="s">
        <v>88</v>
      </c>
      <c r="S14" s="219" t="s">
        <v>89</v>
      </c>
      <c r="T14" s="546" t="s">
        <v>90</v>
      </c>
      <c r="U14" s="546" t="s">
        <v>91</v>
      </c>
      <c r="V14" s="546" t="s">
        <v>92</v>
      </c>
      <c r="W14" s="546" t="s">
        <v>89</v>
      </c>
      <c r="X14" s="546" t="s">
        <v>92</v>
      </c>
      <c r="Y14" s="546" t="s">
        <v>93</v>
      </c>
      <c r="Z14" s="220" t="s">
        <v>94</v>
      </c>
      <c r="AA14" s="219" t="s">
        <v>95</v>
      </c>
      <c r="AB14" s="546" t="s">
        <v>96</v>
      </c>
      <c r="AC14" s="546" t="s">
        <v>95</v>
      </c>
      <c r="AD14" s="546" t="s">
        <v>97</v>
      </c>
      <c r="AE14" s="546" t="s">
        <v>95</v>
      </c>
      <c r="AF14" s="546" t="s">
        <v>97</v>
      </c>
      <c r="AG14" s="546" t="s">
        <v>98</v>
      </c>
      <c r="AH14" s="546" t="s">
        <v>99</v>
      </c>
      <c r="AI14" s="220" t="s">
        <v>100</v>
      </c>
      <c r="AJ14" s="219" t="s">
        <v>101</v>
      </c>
      <c r="AK14" s="546" t="s">
        <v>102</v>
      </c>
      <c r="AL14" s="546" t="s">
        <v>101</v>
      </c>
      <c r="AM14" s="546" t="s">
        <v>102</v>
      </c>
      <c r="AN14" s="546" t="s">
        <v>103</v>
      </c>
      <c r="AO14" s="546" t="s">
        <v>104</v>
      </c>
      <c r="AP14" s="546" t="s">
        <v>105</v>
      </c>
      <c r="AQ14" s="220" t="s">
        <v>106</v>
      </c>
      <c r="AR14" s="222" t="s">
        <v>107</v>
      </c>
      <c r="AS14" s="223" t="s">
        <v>108</v>
      </c>
      <c r="AT14" s="223" t="s">
        <v>109</v>
      </c>
      <c r="AU14" s="223" t="s">
        <v>110</v>
      </c>
      <c r="AV14" s="223" t="s">
        <v>111</v>
      </c>
      <c r="AW14" s="223" t="s">
        <v>112</v>
      </c>
      <c r="AX14" s="224" t="s">
        <v>113</v>
      </c>
      <c r="AY14" s="225" t="s">
        <v>114</v>
      </c>
      <c r="AZ14" s="76" t="s">
        <v>115</v>
      </c>
      <c r="BA14" s="76" t="s">
        <v>116</v>
      </c>
      <c r="BB14" s="76" t="s">
        <v>117</v>
      </c>
      <c r="BC14" s="76" t="s">
        <v>118</v>
      </c>
      <c r="BD14" s="77" t="s">
        <v>119</v>
      </c>
      <c r="BE14" s="76" t="s">
        <v>120</v>
      </c>
      <c r="BF14" s="76" t="s">
        <v>121</v>
      </c>
      <c r="BG14" s="76" t="s">
        <v>122</v>
      </c>
      <c r="BH14" s="76" t="s">
        <v>123</v>
      </c>
      <c r="BI14" s="549" t="s">
        <v>124</v>
      </c>
      <c r="BJ14" s="77" t="s">
        <v>125</v>
      </c>
      <c r="BK14" s="549" t="s">
        <v>126</v>
      </c>
      <c r="BL14" s="90" t="s">
        <v>127</v>
      </c>
      <c r="BM14" s="542" t="s">
        <v>128</v>
      </c>
      <c r="BN14" s="541" t="s">
        <v>129</v>
      </c>
      <c r="BO14" s="88" t="s">
        <v>130</v>
      </c>
      <c r="BP14" s="542" t="s">
        <v>131</v>
      </c>
      <c r="BQ14" s="90" t="s">
        <v>132</v>
      </c>
      <c r="BR14" s="542" t="s">
        <v>133</v>
      </c>
      <c r="BS14" s="541" t="s">
        <v>134</v>
      </c>
      <c r="BT14" s="88" t="s">
        <v>135</v>
      </c>
      <c r="BU14" s="543" t="s">
        <v>136</v>
      </c>
      <c r="BV14" s="232" t="s">
        <v>137</v>
      </c>
      <c r="BW14" s="541" t="s">
        <v>138</v>
      </c>
      <c r="BX14" s="88" t="s">
        <v>139</v>
      </c>
      <c r="BY14" s="543" t="s">
        <v>140</v>
      </c>
      <c r="BZ14" s="89" t="s">
        <v>141</v>
      </c>
      <c r="CA14" s="544" t="s">
        <v>142</v>
      </c>
      <c r="CB14" s="233" t="s">
        <v>143</v>
      </c>
      <c r="CC14" s="545" t="s">
        <v>144</v>
      </c>
      <c r="CD14" s="90" t="s">
        <v>145</v>
      </c>
      <c r="CE14" s="542" t="s">
        <v>146</v>
      </c>
      <c r="CF14" s="542" t="s">
        <v>147</v>
      </c>
    </row>
    <row r="15" spans="1:84" ht="30" customHeight="1" thickBot="1" x14ac:dyDescent="0.35">
      <c r="A15" s="60" t="str">
        <f t="shared" ref="A15:A70" si="0">$E$1</f>
        <v>Unitil</v>
      </c>
      <c r="B15" s="66" t="s">
        <v>383</v>
      </c>
      <c r="C15" s="66" t="s">
        <v>383</v>
      </c>
      <c r="D15" s="58" t="s">
        <v>384</v>
      </c>
      <c r="E15" s="58" t="s">
        <v>385</v>
      </c>
      <c r="F15" s="58" t="s">
        <v>386</v>
      </c>
      <c r="G15" s="58" t="s">
        <v>385</v>
      </c>
      <c r="H15" s="10" t="s">
        <v>387</v>
      </c>
      <c r="I15" s="242" t="s">
        <v>453</v>
      </c>
      <c r="J15" s="104" t="s">
        <v>454</v>
      </c>
      <c r="K15" s="523"/>
      <c r="L15" s="523"/>
      <c r="M15" s="58"/>
      <c r="N15" s="559"/>
      <c r="O15" s="514"/>
      <c r="P15" s="524"/>
      <c r="Q15" s="560"/>
      <c r="R15" s="525"/>
      <c r="S15" s="18"/>
      <c r="T15" s="16"/>
      <c r="U15" s="128"/>
      <c r="V15" s="16"/>
      <c r="W15" s="128"/>
      <c r="X15" s="16"/>
      <c r="Y15" s="128"/>
      <c r="Z15" s="10"/>
      <c r="AA15" s="561"/>
      <c r="AB15" s="562"/>
      <c r="AC15" s="563"/>
      <c r="AD15" s="562"/>
      <c r="AE15" s="563"/>
      <c r="AF15" s="562"/>
      <c r="AG15" s="563"/>
      <c r="AH15" s="562"/>
      <c r="AI15" s="564"/>
      <c r="AJ15" s="565"/>
      <c r="AK15" s="566"/>
      <c r="AL15" s="565"/>
      <c r="AM15" s="565"/>
      <c r="AN15" s="565"/>
      <c r="AO15" s="565"/>
      <c r="AP15" s="565"/>
      <c r="AQ15" s="565"/>
      <c r="AR15" s="226"/>
      <c r="AS15" s="227"/>
      <c r="AT15" s="227"/>
      <c r="AU15" s="227"/>
      <c r="AV15" s="227"/>
      <c r="AW15" s="227"/>
      <c r="AX15" s="227"/>
      <c r="AY15" s="228"/>
      <c r="AZ15" s="96"/>
      <c r="BA15" s="9"/>
      <c r="BB15" s="9"/>
      <c r="BC15" s="126"/>
      <c r="BD15" s="126"/>
      <c r="BE15" s="126"/>
      <c r="BF15" s="129"/>
      <c r="BG15" s="129"/>
      <c r="BH15" s="129"/>
      <c r="BI15" s="129"/>
      <c r="BJ15" s="126"/>
      <c r="BK15" s="125"/>
      <c r="BL15" s="21"/>
      <c r="BM15" s="127"/>
      <c r="BN15" s="511"/>
      <c r="BO15" s="512"/>
      <c r="BP15" s="513"/>
      <c r="BQ15" s="107"/>
      <c r="BR15" s="108"/>
      <c r="BS15" s="488"/>
      <c r="BT15" s="489"/>
      <c r="BU15" s="490"/>
      <c r="BV15" s="491"/>
      <c r="BW15" s="488"/>
      <c r="BX15" s="490"/>
      <c r="BY15" s="490"/>
      <c r="BZ15" s="491"/>
      <c r="CA15" s="237"/>
      <c r="CB15" s="234"/>
      <c r="CC15" s="235"/>
      <c r="CD15" s="94"/>
      <c r="CE15" s="95"/>
      <c r="CF15" s="52"/>
    </row>
    <row r="16" spans="1:84" ht="30" customHeight="1" thickBot="1" x14ac:dyDescent="0.35">
      <c r="A16" s="60" t="str">
        <f t="shared" si="0"/>
        <v>Unitil</v>
      </c>
      <c r="B16" s="66" t="s">
        <v>383</v>
      </c>
      <c r="C16" s="66" t="s">
        <v>383</v>
      </c>
      <c r="D16" s="58" t="s">
        <v>384</v>
      </c>
      <c r="E16" s="58" t="s">
        <v>385</v>
      </c>
      <c r="F16" s="58" t="s">
        <v>388</v>
      </c>
      <c r="G16" s="58" t="s">
        <v>385</v>
      </c>
      <c r="H16" s="10" t="s">
        <v>387</v>
      </c>
      <c r="I16" s="14" t="s">
        <v>453</v>
      </c>
      <c r="J16" s="128" t="s">
        <v>454</v>
      </c>
      <c r="K16" s="526"/>
      <c r="L16" s="526"/>
      <c r="M16" s="58"/>
      <c r="N16" s="559"/>
      <c r="O16" s="527"/>
      <c r="P16" s="524"/>
      <c r="Q16" s="560"/>
      <c r="R16" s="528"/>
      <c r="S16" s="18"/>
      <c r="T16" s="16"/>
      <c r="U16" s="128"/>
      <c r="V16" s="16"/>
      <c r="W16" s="128"/>
      <c r="X16" s="16"/>
      <c r="Y16" s="128"/>
      <c r="Z16" s="10"/>
      <c r="AA16" s="561"/>
      <c r="AB16" s="562"/>
      <c r="AC16" s="563"/>
      <c r="AD16" s="562"/>
      <c r="AE16" s="563"/>
      <c r="AF16" s="562"/>
      <c r="AG16" s="563"/>
      <c r="AH16" s="562"/>
      <c r="AI16" s="564"/>
      <c r="AJ16" s="565"/>
      <c r="AK16" s="566"/>
      <c r="AL16" s="565"/>
      <c r="AM16" s="565"/>
      <c r="AN16" s="565"/>
      <c r="AO16" s="565"/>
      <c r="AP16" s="565"/>
      <c r="AQ16" s="565"/>
      <c r="AR16" s="492"/>
      <c r="AS16" s="493"/>
      <c r="AT16" s="493"/>
      <c r="AU16" s="493"/>
      <c r="AV16" s="493"/>
      <c r="AW16" s="493"/>
      <c r="AX16" s="493"/>
      <c r="AY16" s="494"/>
      <c r="AZ16" s="96"/>
      <c r="BA16" s="9"/>
      <c r="BB16" s="9"/>
      <c r="BC16" s="126"/>
      <c r="BD16" s="126"/>
      <c r="BE16" s="126"/>
      <c r="BF16" s="129"/>
      <c r="BG16" s="129"/>
      <c r="BH16" s="129"/>
      <c r="BI16" s="129"/>
      <c r="BJ16" s="126"/>
      <c r="BK16" s="125"/>
      <c r="BL16" s="21"/>
      <c r="BM16" s="127"/>
      <c r="BN16" s="511"/>
      <c r="BO16" s="514"/>
      <c r="BP16" s="513"/>
      <c r="BQ16" s="107"/>
      <c r="BR16" s="108"/>
      <c r="BS16" s="488"/>
      <c r="BT16" s="489"/>
      <c r="BU16" s="490"/>
      <c r="BV16" s="491"/>
      <c r="BW16" s="488"/>
      <c r="BX16" s="490"/>
      <c r="BY16" s="490"/>
      <c r="BZ16" s="491"/>
      <c r="CA16" s="257"/>
      <c r="CB16" s="94"/>
      <c r="CC16" s="495"/>
      <c r="CD16" s="94"/>
      <c r="CE16" s="95"/>
      <c r="CF16" s="52"/>
    </row>
    <row r="17" spans="1:84" ht="30" customHeight="1" thickBot="1" x14ac:dyDescent="0.35">
      <c r="A17" s="60" t="str">
        <f t="shared" si="0"/>
        <v>Unitil</v>
      </c>
      <c r="B17" s="66" t="s">
        <v>383</v>
      </c>
      <c r="C17" s="66" t="s">
        <v>383</v>
      </c>
      <c r="D17" s="58" t="s">
        <v>384</v>
      </c>
      <c r="E17" s="58" t="s">
        <v>385</v>
      </c>
      <c r="F17" s="58" t="s">
        <v>389</v>
      </c>
      <c r="G17" s="58" t="s">
        <v>385</v>
      </c>
      <c r="H17" s="10" t="s">
        <v>387</v>
      </c>
      <c r="I17" s="14" t="s">
        <v>453</v>
      </c>
      <c r="J17" s="128" t="s">
        <v>454</v>
      </c>
      <c r="K17" s="526"/>
      <c r="L17" s="526"/>
      <c r="M17" s="58"/>
      <c r="N17" s="559"/>
      <c r="O17" s="527"/>
      <c r="P17" s="524"/>
      <c r="Q17" s="560"/>
      <c r="R17" s="528"/>
      <c r="S17" s="18"/>
      <c r="T17" s="16"/>
      <c r="U17" s="128"/>
      <c r="V17" s="16"/>
      <c r="W17" s="128"/>
      <c r="X17" s="16"/>
      <c r="Y17" s="128"/>
      <c r="Z17" s="10"/>
      <c r="AA17" s="561"/>
      <c r="AB17" s="562"/>
      <c r="AC17" s="563"/>
      <c r="AD17" s="562"/>
      <c r="AE17" s="563"/>
      <c r="AF17" s="562"/>
      <c r="AG17" s="563"/>
      <c r="AH17" s="562"/>
      <c r="AI17" s="564"/>
      <c r="AJ17" s="565"/>
      <c r="AK17" s="566"/>
      <c r="AL17" s="565"/>
      <c r="AM17" s="565"/>
      <c r="AN17" s="565"/>
      <c r="AO17" s="565"/>
      <c r="AP17" s="565"/>
      <c r="AQ17" s="565"/>
      <c r="AR17" s="492"/>
      <c r="AS17" s="493"/>
      <c r="AT17" s="493"/>
      <c r="AU17" s="493"/>
      <c r="AV17" s="493"/>
      <c r="AW17" s="493"/>
      <c r="AX17" s="493"/>
      <c r="AY17" s="494"/>
      <c r="AZ17" s="96"/>
      <c r="BA17" s="9"/>
      <c r="BB17" s="9"/>
      <c r="BC17" s="126"/>
      <c r="BD17" s="126"/>
      <c r="BE17" s="126"/>
      <c r="BF17" s="129"/>
      <c r="BG17" s="129"/>
      <c r="BH17" s="129"/>
      <c r="BI17" s="129"/>
      <c r="BJ17" s="126"/>
      <c r="BK17" s="125"/>
      <c r="BL17" s="21"/>
      <c r="BM17" s="127"/>
      <c r="BN17" s="511"/>
      <c r="BO17" s="514"/>
      <c r="BP17" s="513"/>
      <c r="BQ17" s="107"/>
      <c r="BR17" s="108"/>
      <c r="BS17" s="488"/>
      <c r="BT17" s="489"/>
      <c r="BU17" s="490"/>
      <c r="BV17" s="491"/>
      <c r="BW17" s="488"/>
      <c r="BX17" s="490"/>
      <c r="BY17" s="490"/>
      <c r="BZ17" s="491"/>
      <c r="CA17" s="257"/>
      <c r="CB17" s="94"/>
      <c r="CC17" s="495"/>
      <c r="CD17" s="94"/>
      <c r="CE17" s="95"/>
      <c r="CF17" s="52"/>
    </row>
    <row r="18" spans="1:84" ht="30" customHeight="1" x14ac:dyDescent="0.3">
      <c r="A18" s="60" t="str">
        <f t="shared" si="0"/>
        <v>Unitil</v>
      </c>
      <c r="B18" s="66" t="s">
        <v>383</v>
      </c>
      <c r="C18" s="66" t="s">
        <v>383</v>
      </c>
      <c r="D18" s="58" t="s">
        <v>384</v>
      </c>
      <c r="E18" s="58" t="s">
        <v>385</v>
      </c>
      <c r="F18" s="58" t="s">
        <v>390</v>
      </c>
      <c r="G18" s="58" t="s">
        <v>385</v>
      </c>
      <c r="H18" s="10" t="s">
        <v>387</v>
      </c>
      <c r="I18" s="14" t="s">
        <v>453</v>
      </c>
      <c r="J18" s="128" t="s">
        <v>454</v>
      </c>
      <c r="K18" s="526"/>
      <c r="L18" s="526"/>
      <c r="M18" s="58"/>
      <c r="N18" s="559"/>
      <c r="O18" s="527"/>
      <c r="P18" s="524"/>
      <c r="Q18" s="560"/>
      <c r="R18" s="528"/>
      <c r="S18" s="18"/>
      <c r="T18" s="16"/>
      <c r="U18" s="128"/>
      <c r="V18" s="16"/>
      <c r="W18" s="128"/>
      <c r="X18" s="16"/>
      <c r="Y18" s="128"/>
      <c r="Z18" s="10"/>
      <c r="AA18" s="561"/>
      <c r="AB18" s="562"/>
      <c r="AC18" s="563"/>
      <c r="AD18" s="562"/>
      <c r="AE18" s="563"/>
      <c r="AF18" s="562"/>
      <c r="AG18" s="563"/>
      <c r="AH18" s="562"/>
      <c r="AI18" s="564"/>
      <c r="AJ18" s="565"/>
      <c r="AK18" s="566"/>
      <c r="AL18" s="565"/>
      <c r="AM18" s="565"/>
      <c r="AN18" s="565"/>
      <c r="AO18" s="565"/>
      <c r="AP18" s="565"/>
      <c r="AQ18" s="565"/>
      <c r="AR18" s="492"/>
      <c r="AS18" s="493"/>
      <c r="AT18" s="493"/>
      <c r="AU18" s="493"/>
      <c r="AV18" s="493"/>
      <c r="AW18" s="493"/>
      <c r="AX18" s="493"/>
      <c r="AY18" s="494"/>
      <c r="AZ18" s="96"/>
      <c r="BA18" s="9"/>
      <c r="BB18" s="9"/>
      <c r="BC18" s="126"/>
      <c r="BD18" s="126"/>
      <c r="BE18" s="126"/>
      <c r="BF18" s="129"/>
      <c r="BG18" s="129"/>
      <c r="BH18" s="129"/>
      <c r="BI18" s="129"/>
      <c r="BJ18" s="126"/>
      <c r="BK18" s="125"/>
      <c r="BL18" s="21"/>
      <c r="BM18" s="127"/>
      <c r="BN18" s="511"/>
      <c r="BO18" s="514"/>
      <c r="BP18" s="513"/>
      <c r="BQ18" s="107"/>
      <c r="BR18" s="108"/>
      <c r="BS18" s="488"/>
      <c r="BT18" s="489"/>
      <c r="BU18" s="490"/>
      <c r="BV18" s="491"/>
      <c r="BW18" s="488"/>
      <c r="BX18" s="490"/>
      <c r="BY18" s="490"/>
      <c r="BZ18" s="491"/>
      <c r="CA18" s="257"/>
      <c r="CB18" s="94"/>
      <c r="CC18" s="495"/>
      <c r="CD18" s="94"/>
      <c r="CE18" s="95"/>
      <c r="CF18" s="52"/>
    </row>
    <row r="19" spans="1:84" ht="30" customHeight="1" thickBot="1" x14ac:dyDescent="0.35">
      <c r="A19" s="60" t="str">
        <f>$E$1</f>
        <v>Unitil</v>
      </c>
      <c r="B19" s="66" t="s">
        <v>383</v>
      </c>
      <c r="C19" s="66" t="s">
        <v>383</v>
      </c>
      <c r="D19" s="58" t="s">
        <v>384</v>
      </c>
      <c r="E19" s="58" t="s">
        <v>385</v>
      </c>
      <c r="F19" s="496"/>
      <c r="G19" s="496"/>
      <c r="H19" s="497"/>
      <c r="I19" s="529"/>
      <c r="J19" s="496"/>
      <c r="K19" s="496"/>
      <c r="L19" s="496"/>
      <c r="M19" s="496"/>
      <c r="N19" s="567"/>
      <c r="O19" s="530"/>
      <c r="P19" s="568"/>
      <c r="Q19" s="510"/>
      <c r="R19" s="531"/>
      <c r="S19" s="569"/>
      <c r="T19" s="569"/>
      <c r="U19" s="569"/>
      <c r="V19" s="569"/>
      <c r="W19" s="569"/>
      <c r="X19" s="569"/>
      <c r="Y19" s="569"/>
      <c r="Z19" s="569"/>
      <c r="AA19" s="569"/>
      <c r="AB19" s="569"/>
      <c r="AC19" s="569"/>
      <c r="AD19" s="569"/>
      <c r="AE19" s="569"/>
      <c r="AF19" s="569"/>
      <c r="AG19" s="569"/>
      <c r="AH19" s="569"/>
      <c r="AI19" s="569"/>
      <c r="AJ19" s="569"/>
      <c r="AK19" s="497"/>
      <c r="AL19" s="569"/>
      <c r="AM19" s="497"/>
      <c r="AN19" s="569"/>
      <c r="AO19" s="497"/>
      <c r="AP19" s="569"/>
      <c r="AQ19" s="497"/>
      <c r="AR19" s="492"/>
      <c r="AS19" s="493"/>
      <c r="AT19" s="493"/>
      <c r="AU19" s="493"/>
      <c r="AV19" s="493"/>
      <c r="AW19" s="493"/>
      <c r="AX19" s="493"/>
      <c r="AY19" s="494"/>
      <c r="AZ19" s="96"/>
      <c r="BA19" s="9"/>
      <c r="BB19" s="9"/>
      <c r="BC19" s="126"/>
      <c r="BD19" s="126"/>
      <c r="BE19" s="126"/>
      <c r="BF19" s="129"/>
      <c r="BG19" s="129"/>
      <c r="BH19" s="129"/>
      <c r="BI19" s="129"/>
      <c r="BJ19" s="126"/>
      <c r="BK19" s="125"/>
      <c r="BL19" s="21"/>
      <c r="BM19" s="127"/>
      <c r="BN19" s="515"/>
      <c r="BO19" s="516"/>
      <c r="BP19" s="517"/>
      <c r="BQ19" s="107"/>
      <c r="BR19" s="108"/>
      <c r="BS19" s="488"/>
      <c r="BT19" s="489"/>
      <c r="BU19" s="490"/>
      <c r="BV19" s="491"/>
      <c r="BW19" s="488"/>
      <c r="BX19" s="490"/>
      <c r="BY19" s="490"/>
      <c r="BZ19" s="491"/>
      <c r="CA19" s="257"/>
      <c r="CB19" s="94"/>
      <c r="CC19" s="495"/>
      <c r="CD19" s="94"/>
      <c r="CE19" s="95"/>
      <c r="CF19" s="52"/>
    </row>
    <row r="20" spans="1:84" ht="30" customHeight="1" thickBot="1" x14ac:dyDescent="0.35">
      <c r="A20" s="60" t="str">
        <f t="shared" si="0"/>
        <v>Unitil</v>
      </c>
      <c r="B20" s="66" t="s">
        <v>383</v>
      </c>
      <c r="C20" s="66" t="s">
        <v>383</v>
      </c>
      <c r="D20" s="58" t="s">
        <v>391</v>
      </c>
      <c r="E20" s="58" t="s">
        <v>385</v>
      </c>
      <c r="F20" s="58" t="s">
        <v>392</v>
      </c>
      <c r="G20" s="58" t="s">
        <v>385</v>
      </c>
      <c r="H20" s="10" t="s">
        <v>387</v>
      </c>
      <c r="I20" s="14" t="s">
        <v>453</v>
      </c>
      <c r="J20" s="128" t="s">
        <v>457</v>
      </c>
      <c r="K20" s="526"/>
      <c r="L20" s="526"/>
      <c r="M20" s="58"/>
      <c r="N20" s="559"/>
      <c r="O20" s="527"/>
      <c r="P20" s="524"/>
      <c r="Q20" s="560"/>
      <c r="R20" s="528"/>
      <c r="S20" s="18"/>
      <c r="T20" s="16"/>
      <c r="U20" s="128"/>
      <c r="V20" s="16"/>
      <c r="W20" s="128"/>
      <c r="X20" s="16"/>
      <c r="Y20" s="128"/>
      <c r="Z20" s="10"/>
      <c r="AA20" s="561"/>
      <c r="AB20" s="562"/>
      <c r="AC20" s="563"/>
      <c r="AD20" s="562"/>
      <c r="AE20" s="563"/>
      <c r="AF20" s="562"/>
      <c r="AG20" s="563"/>
      <c r="AH20" s="562"/>
      <c r="AI20" s="564"/>
      <c r="AJ20" s="565"/>
      <c r="AK20" s="566"/>
      <c r="AL20" s="565"/>
      <c r="AM20" s="565"/>
      <c r="AN20" s="565"/>
      <c r="AO20" s="565"/>
      <c r="AP20" s="565"/>
      <c r="AQ20" s="565"/>
      <c r="AR20" s="492"/>
      <c r="AS20" s="493"/>
      <c r="AT20" s="493"/>
      <c r="AU20" s="493"/>
      <c r="AV20" s="493"/>
      <c r="AW20" s="493"/>
      <c r="AX20" s="493"/>
      <c r="AY20" s="494"/>
      <c r="AZ20" s="96"/>
      <c r="BA20" s="9"/>
      <c r="BB20" s="9"/>
      <c r="BC20" s="126"/>
      <c r="BD20" s="126"/>
      <c r="BE20" s="126"/>
      <c r="BF20" s="129"/>
      <c r="BG20" s="129"/>
      <c r="BH20" s="129"/>
      <c r="BI20" s="129"/>
      <c r="BJ20" s="126"/>
      <c r="BK20" s="125"/>
      <c r="BL20" s="21"/>
      <c r="BM20" s="127"/>
      <c r="BN20" s="511"/>
      <c r="BO20" s="514"/>
      <c r="BP20" s="513"/>
      <c r="BQ20" s="107"/>
      <c r="BR20" s="108"/>
      <c r="BS20" s="488"/>
      <c r="BT20" s="489"/>
      <c r="BU20" s="490"/>
      <c r="BV20" s="491"/>
      <c r="BW20" s="488"/>
      <c r="BX20" s="490"/>
      <c r="BY20" s="490"/>
      <c r="BZ20" s="491"/>
      <c r="CA20" s="257"/>
      <c r="CB20" s="94"/>
      <c r="CC20" s="495"/>
      <c r="CD20" s="94"/>
      <c r="CE20" s="95"/>
      <c r="CF20" s="52"/>
    </row>
    <row r="21" spans="1:84" ht="30" customHeight="1" thickBot="1" x14ac:dyDescent="0.35">
      <c r="A21" s="60" t="str">
        <f t="shared" si="0"/>
        <v>Unitil</v>
      </c>
      <c r="B21" s="66" t="s">
        <v>383</v>
      </c>
      <c r="C21" s="66" t="s">
        <v>383</v>
      </c>
      <c r="D21" s="58" t="s">
        <v>391</v>
      </c>
      <c r="E21" s="58" t="s">
        <v>385</v>
      </c>
      <c r="F21" s="58" t="s">
        <v>393</v>
      </c>
      <c r="G21" s="58" t="s">
        <v>385</v>
      </c>
      <c r="H21" s="10" t="s">
        <v>387</v>
      </c>
      <c r="I21" s="14" t="s">
        <v>453</v>
      </c>
      <c r="J21" s="128" t="s">
        <v>457</v>
      </c>
      <c r="K21" s="526"/>
      <c r="L21" s="526"/>
      <c r="M21" s="58"/>
      <c r="N21" s="559"/>
      <c r="O21" s="527"/>
      <c r="P21" s="524"/>
      <c r="Q21" s="560"/>
      <c r="R21" s="528"/>
      <c r="S21" s="18"/>
      <c r="T21" s="16"/>
      <c r="U21" s="128"/>
      <c r="V21" s="16"/>
      <c r="W21" s="128"/>
      <c r="X21" s="16"/>
      <c r="Y21" s="128"/>
      <c r="Z21" s="10"/>
      <c r="AA21" s="561"/>
      <c r="AB21" s="562"/>
      <c r="AC21" s="563"/>
      <c r="AD21" s="562"/>
      <c r="AE21" s="563"/>
      <c r="AF21" s="562"/>
      <c r="AG21" s="563"/>
      <c r="AH21" s="562"/>
      <c r="AI21" s="564"/>
      <c r="AJ21" s="565"/>
      <c r="AK21" s="566"/>
      <c r="AL21" s="565"/>
      <c r="AM21" s="565"/>
      <c r="AN21" s="565"/>
      <c r="AO21" s="565"/>
      <c r="AP21" s="565"/>
      <c r="AQ21" s="565"/>
      <c r="AR21" s="492"/>
      <c r="AS21" s="493"/>
      <c r="AT21" s="493"/>
      <c r="AU21" s="493"/>
      <c r="AV21" s="493"/>
      <c r="AW21" s="493"/>
      <c r="AX21" s="493"/>
      <c r="AY21" s="494"/>
      <c r="AZ21" s="96"/>
      <c r="BA21" s="9"/>
      <c r="BB21" s="9"/>
      <c r="BC21" s="126"/>
      <c r="BD21" s="126"/>
      <c r="BE21" s="126"/>
      <c r="BF21" s="129"/>
      <c r="BG21" s="129"/>
      <c r="BH21" s="129"/>
      <c r="BI21" s="129"/>
      <c r="BJ21" s="126"/>
      <c r="BK21" s="125"/>
      <c r="BL21" s="21"/>
      <c r="BM21" s="127"/>
      <c r="BN21" s="511"/>
      <c r="BO21" s="514"/>
      <c r="BP21" s="513"/>
      <c r="BQ21" s="107"/>
      <c r="BR21" s="108"/>
      <c r="BS21" s="488"/>
      <c r="BT21" s="489"/>
      <c r="BU21" s="490"/>
      <c r="BV21" s="491"/>
      <c r="BW21" s="488"/>
      <c r="BX21" s="490"/>
      <c r="BY21" s="490"/>
      <c r="BZ21" s="491"/>
      <c r="CA21" s="257"/>
      <c r="CB21" s="94"/>
      <c r="CC21" s="495"/>
      <c r="CD21" s="94"/>
      <c r="CE21" s="95"/>
      <c r="CF21" s="52"/>
    </row>
    <row r="22" spans="1:84" ht="30" customHeight="1" x14ac:dyDescent="0.3">
      <c r="A22" s="60" t="str">
        <f t="shared" si="0"/>
        <v>Unitil</v>
      </c>
      <c r="B22" s="66" t="s">
        <v>383</v>
      </c>
      <c r="C22" s="66" t="s">
        <v>383</v>
      </c>
      <c r="D22" s="58" t="s">
        <v>391</v>
      </c>
      <c r="E22" s="58" t="s">
        <v>385</v>
      </c>
      <c r="F22" s="58" t="s">
        <v>394</v>
      </c>
      <c r="G22" s="58" t="s">
        <v>385</v>
      </c>
      <c r="H22" s="10" t="s">
        <v>387</v>
      </c>
      <c r="I22" s="14" t="s">
        <v>453</v>
      </c>
      <c r="J22" s="128" t="s">
        <v>454</v>
      </c>
      <c r="K22" s="526"/>
      <c r="L22" s="526"/>
      <c r="M22" s="58"/>
      <c r="N22" s="559"/>
      <c r="O22" s="527"/>
      <c r="P22" s="524"/>
      <c r="Q22" s="560"/>
      <c r="R22" s="528"/>
      <c r="S22" s="18"/>
      <c r="T22" s="16"/>
      <c r="U22" s="128"/>
      <c r="V22" s="16"/>
      <c r="W22" s="128"/>
      <c r="X22" s="16"/>
      <c r="Y22" s="128"/>
      <c r="Z22" s="10"/>
      <c r="AA22" s="561"/>
      <c r="AB22" s="562"/>
      <c r="AC22" s="563"/>
      <c r="AD22" s="562"/>
      <c r="AE22" s="563"/>
      <c r="AF22" s="562"/>
      <c r="AG22" s="563"/>
      <c r="AH22" s="562"/>
      <c r="AI22" s="564"/>
      <c r="AJ22" s="565"/>
      <c r="AK22" s="566"/>
      <c r="AL22" s="565"/>
      <c r="AM22" s="565"/>
      <c r="AN22" s="565"/>
      <c r="AO22" s="565"/>
      <c r="AP22" s="565"/>
      <c r="AQ22" s="565"/>
      <c r="AR22" s="492"/>
      <c r="AS22" s="493"/>
      <c r="AT22" s="493"/>
      <c r="AU22" s="493"/>
      <c r="AV22" s="493"/>
      <c r="AW22" s="493"/>
      <c r="AX22" s="493"/>
      <c r="AY22" s="494"/>
      <c r="AZ22" s="96"/>
      <c r="BA22" s="9"/>
      <c r="BB22" s="9"/>
      <c r="BC22" s="126"/>
      <c r="BD22" s="126"/>
      <c r="BE22" s="126"/>
      <c r="BF22" s="129"/>
      <c r="BG22" s="129"/>
      <c r="BH22" s="129"/>
      <c r="BI22" s="129"/>
      <c r="BJ22" s="126"/>
      <c r="BK22" s="125"/>
      <c r="BL22" s="21"/>
      <c r="BM22" s="127"/>
      <c r="BN22" s="511"/>
      <c r="BO22" s="514"/>
      <c r="BP22" s="513"/>
      <c r="BQ22" s="107"/>
      <c r="BR22" s="108"/>
      <c r="BS22" s="488"/>
      <c r="BT22" s="489"/>
      <c r="BU22" s="490"/>
      <c r="BV22" s="491"/>
      <c r="BW22" s="488"/>
      <c r="BX22" s="490"/>
      <c r="BY22" s="490"/>
      <c r="BZ22" s="491"/>
      <c r="CA22" s="257"/>
      <c r="CB22" s="94"/>
      <c r="CC22" s="495"/>
      <c r="CD22" s="94"/>
      <c r="CE22" s="95"/>
      <c r="CF22" s="52"/>
    </row>
    <row r="23" spans="1:84" ht="30" customHeight="1" thickBot="1" x14ac:dyDescent="0.35">
      <c r="A23" s="60" t="str">
        <f t="shared" si="0"/>
        <v>Unitil</v>
      </c>
      <c r="B23" s="66" t="s">
        <v>383</v>
      </c>
      <c r="C23" s="66" t="s">
        <v>383</v>
      </c>
      <c r="D23" s="58" t="s">
        <v>391</v>
      </c>
      <c r="E23" s="58" t="s">
        <v>385</v>
      </c>
      <c r="F23" s="496"/>
      <c r="G23" s="496"/>
      <c r="H23" s="497"/>
      <c r="I23" s="529"/>
      <c r="J23" s="496"/>
      <c r="K23" s="496"/>
      <c r="L23" s="496"/>
      <c r="M23" s="496"/>
      <c r="N23" s="567"/>
      <c r="O23" s="530"/>
      <c r="P23" s="568"/>
      <c r="Q23" s="510"/>
      <c r="R23" s="531"/>
      <c r="S23" s="569"/>
      <c r="T23" s="569"/>
      <c r="U23" s="569"/>
      <c r="V23" s="569"/>
      <c r="W23" s="569"/>
      <c r="X23" s="569"/>
      <c r="Y23" s="569"/>
      <c r="Z23" s="569"/>
      <c r="AA23" s="569"/>
      <c r="AB23" s="569"/>
      <c r="AC23" s="569"/>
      <c r="AD23" s="569"/>
      <c r="AE23" s="569"/>
      <c r="AF23" s="569"/>
      <c r="AG23" s="569"/>
      <c r="AH23" s="569"/>
      <c r="AI23" s="569"/>
      <c r="AJ23" s="569"/>
      <c r="AK23" s="497"/>
      <c r="AL23" s="569"/>
      <c r="AM23" s="497"/>
      <c r="AN23" s="569"/>
      <c r="AO23" s="497"/>
      <c r="AP23" s="569"/>
      <c r="AQ23" s="497"/>
      <c r="AR23" s="492"/>
      <c r="AS23" s="493"/>
      <c r="AT23" s="493"/>
      <c r="AU23" s="493"/>
      <c r="AV23" s="493"/>
      <c r="AW23" s="493"/>
      <c r="AX23" s="493"/>
      <c r="AY23" s="494"/>
      <c r="AZ23" s="96"/>
      <c r="BA23" s="9"/>
      <c r="BB23" s="9"/>
      <c r="BC23" s="126"/>
      <c r="BD23" s="126"/>
      <c r="BE23" s="126"/>
      <c r="BF23" s="129"/>
      <c r="BG23" s="129"/>
      <c r="BH23" s="129"/>
      <c r="BI23" s="129"/>
      <c r="BJ23" s="126"/>
      <c r="BK23" s="125"/>
      <c r="BL23" s="21"/>
      <c r="BM23" s="127"/>
      <c r="BN23" s="515"/>
      <c r="BO23" s="516"/>
      <c r="BP23" s="517"/>
      <c r="BQ23" s="107"/>
      <c r="BR23" s="108"/>
      <c r="BS23" s="488"/>
      <c r="BT23" s="489"/>
      <c r="BU23" s="490"/>
      <c r="BV23" s="491"/>
      <c r="BW23" s="488"/>
      <c r="BX23" s="490"/>
      <c r="BY23" s="490"/>
      <c r="BZ23" s="491"/>
      <c r="CA23" s="257"/>
      <c r="CB23" s="94"/>
      <c r="CC23" s="495"/>
      <c r="CD23" s="94"/>
      <c r="CE23" s="95"/>
      <c r="CF23" s="52"/>
    </row>
    <row r="24" spans="1:84" ht="30" customHeight="1" thickBot="1" x14ac:dyDescent="0.35">
      <c r="A24" s="60" t="str">
        <f t="shared" si="0"/>
        <v>Unitil</v>
      </c>
      <c r="B24" s="66" t="s">
        <v>383</v>
      </c>
      <c r="C24" s="66" t="s">
        <v>383</v>
      </c>
      <c r="D24" s="58" t="s">
        <v>395</v>
      </c>
      <c r="E24" s="58" t="s">
        <v>395</v>
      </c>
      <c r="F24" s="58" t="s">
        <v>396</v>
      </c>
      <c r="G24" s="58" t="s">
        <v>395</v>
      </c>
      <c r="H24" s="10" t="s">
        <v>387</v>
      </c>
      <c r="I24" s="14" t="s">
        <v>383</v>
      </c>
      <c r="J24" s="128" t="s">
        <v>383</v>
      </c>
      <c r="K24" s="526"/>
      <c r="L24" s="526"/>
      <c r="M24" s="58"/>
      <c r="N24" s="527"/>
      <c r="O24" s="527"/>
      <c r="P24" s="524"/>
      <c r="Q24" s="560"/>
      <c r="R24" s="528"/>
      <c r="S24" s="128"/>
      <c r="T24" s="16"/>
      <c r="U24" s="128"/>
      <c r="V24" s="16"/>
      <c r="W24" s="128"/>
      <c r="X24" s="16"/>
      <c r="Y24" s="128"/>
      <c r="Z24" s="10"/>
      <c r="AA24" s="561"/>
      <c r="AB24" s="562"/>
      <c r="AC24" s="563"/>
      <c r="AD24" s="562"/>
      <c r="AE24" s="563"/>
      <c r="AF24" s="562"/>
      <c r="AG24" s="563"/>
      <c r="AH24" s="562"/>
      <c r="AI24" s="564"/>
      <c r="AJ24" s="565"/>
      <c r="AK24" s="566"/>
      <c r="AL24" s="565"/>
      <c r="AM24" s="565"/>
      <c r="AN24" s="565"/>
      <c r="AO24" s="565"/>
      <c r="AP24" s="565"/>
      <c r="AQ24" s="565"/>
      <c r="AR24" s="492"/>
      <c r="AS24" s="493"/>
      <c r="AT24" s="493"/>
      <c r="AU24" s="493"/>
      <c r="AV24" s="493"/>
      <c r="AW24" s="493"/>
      <c r="AX24" s="493"/>
      <c r="AY24" s="494"/>
      <c r="AZ24" s="96"/>
      <c r="BA24" s="9"/>
      <c r="BB24" s="9"/>
      <c r="BC24" s="126"/>
      <c r="BD24" s="126"/>
      <c r="BE24" s="126"/>
      <c r="BF24" s="129"/>
      <c r="BG24" s="129"/>
      <c r="BH24" s="129"/>
      <c r="BI24" s="129"/>
      <c r="BJ24" s="126"/>
      <c r="BK24" s="125"/>
      <c r="BL24" s="21"/>
      <c r="BM24" s="127"/>
      <c r="BN24" s="518"/>
      <c r="BO24" s="519"/>
      <c r="BP24" s="579"/>
      <c r="BQ24" s="107"/>
      <c r="BR24" s="108"/>
      <c r="BS24" s="488"/>
      <c r="BT24" s="489"/>
      <c r="BU24" s="490"/>
      <c r="BV24" s="491"/>
      <c r="BW24" s="488"/>
      <c r="BX24" s="490"/>
      <c r="BY24" s="490"/>
      <c r="BZ24" s="491"/>
      <c r="CA24" s="257"/>
      <c r="CB24" s="94"/>
      <c r="CC24" s="495"/>
      <c r="CD24" s="94"/>
      <c r="CE24" s="95"/>
      <c r="CF24" s="52"/>
    </row>
    <row r="25" spans="1:84" ht="30" customHeight="1" thickBot="1" x14ac:dyDescent="0.35">
      <c r="A25" s="60" t="str">
        <f t="shared" si="0"/>
        <v>Unitil</v>
      </c>
      <c r="B25" s="66" t="s">
        <v>383</v>
      </c>
      <c r="C25" s="66" t="s">
        <v>383</v>
      </c>
      <c r="D25" s="58" t="s">
        <v>395</v>
      </c>
      <c r="E25" s="58" t="s">
        <v>395</v>
      </c>
      <c r="F25" s="58" t="s">
        <v>397</v>
      </c>
      <c r="G25" s="58" t="s">
        <v>395</v>
      </c>
      <c r="H25" s="10" t="s">
        <v>387</v>
      </c>
      <c r="I25" s="14" t="s">
        <v>453</v>
      </c>
      <c r="J25" s="128" t="s">
        <v>454</v>
      </c>
      <c r="K25" s="526"/>
      <c r="L25" s="526"/>
      <c r="M25" s="58"/>
      <c r="N25" s="559"/>
      <c r="O25" s="527"/>
      <c r="P25" s="524"/>
      <c r="Q25" s="560"/>
      <c r="R25" s="528"/>
      <c r="S25" s="18"/>
      <c r="T25" s="16"/>
      <c r="U25" s="128"/>
      <c r="V25" s="16"/>
      <c r="W25" s="128"/>
      <c r="X25" s="16"/>
      <c r="Y25" s="18"/>
      <c r="Z25" s="10"/>
      <c r="AA25" s="561"/>
      <c r="AB25" s="562"/>
      <c r="AC25" s="563"/>
      <c r="AD25" s="562"/>
      <c r="AE25" s="563"/>
      <c r="AF25" s="562"/>
      <c r="AG25" s="563"/>
      <c r="AH25" s="562"/>
      <c r="AI25" s="564"/>
      <c r="AJ25" s="565"/>
      <c r="AK25" s="566"/>
      <c r="AL25" s="565"/>
      <c r="AM25" s="565"/>
      <c r="AN25" s="565"/>
      <c r="AO25" s="565"/>
      <c r="AP25" s="565"/>
      <c r="AQ25" s="565"/>
      <c r="AR25" s="492"/>
      <c r="AS25" s="493"/>
      <c r="AT25" s="493"/>
      <c r="AU25" s="493"/>
      <c r="AV25" s="493"/>
      <c r="AW25" s="493"/>
      <c r="AX25" s="493"/>
      <c r="AY25" s="494"/>
      <c r="AZ25" s="96"/>
      <c r="BA25" s="9"/>
      <c r="BB25" s="9"/>
      <c r="BC25" s="126"/>
      <c r="BD25" s="126"/>
      <c r="BE25" s="126"/>
      <c r="BF25" s="129"/>
      <c r="BG25" s="129"/>
      <c r="BH25" s="129"/>
      <c r="BI25" s="129"/>
      <c r="BJ25" s="126"/>
      <c r="BK25" s="125"/>
      <c r="BL25" s="21"/>
      <c r="BM25" s="127"/>
      <c r="BN25" s="518"/>
      <c r="BO25" s="519"/>
      <c r="BP25" s="579"/>
      <c r="BQ25" s="107"/>
      <c r="BR25" s="108"/>
      <c r="BS25" s="488"/>
      <c r="BT25" s="489"/>
      <c r="BU25" s="490"/>
      <c r="BV25" s="491"/>
      <c r="BW25" s="488"/>
      <c r="BX25" s="490"/>
      <c r="BY25" s="490"/>
      <c r="BZ25" s="491"/>
      <c r="CA25" s="257"/>
      <c r="CB25" s="94"/>
      <c r="CC25" s="495"/>
      <c r="CD25" s="94"/>
      <c r="CE25" s="95"/>
      <c r="CF25" s="52"/>
    </row>
    <row r="26" spans="1:84" ht="30" customHeight="1" thickBot="1" x14ac:dyDescent="0.35">
      <c r="A26" s="60" t="str">
        <f t="shared" si="0"/>
        <v>Unitil</v>
      </c>
      <c r="B26" s="66" t="s">
        <v>383</v>
      </c>
      <c r="C26" s="66" t="s">
        <v>383</v>
      </c>
      <c r="D26" s="58" t="s">
        <v>395</v>
      </c>
      <c r="E26" s="58" t="s">
        <v>395</v>
      </c>
      <c r="F26" s="58" t="s">
        <v>398</v>
      </c>
      <c r="G26" s="58" t="s">
        <v>399</v>
      </c>
      <c r="H26" s="10" t="s">
        <v>387</v>
      </c>
      <c r="I26" s="14" t="s">
        <v>453</v>
      </c>
      <c r="J26" s="128" t="s">
        <v>454</v>
      </c>
      <c r="K26" s="526"/>
      <c r="L26" s="526"/>
      <c r="M26" s="58"/>
      <c r="N26" s="559"/>
      <c r="O26" s="527"/>
      <c r="P26" s="524"/>
      <c r="Q26" s="560"/>
      <c r="R26" s="528"/>
      <c r="S26" s="18"/>
      <c r="T26" s="16"/>
      <c r="U26" s="128"/>
      <c r="V26" s="16"/>
      <c r="W26" s="128"/>
      <c r="X26" s="16"/>
      <c r="Y26" s="18"/>
      <c r="Z26" s="10"/>
      <c r="AA26" s="561"/>
      <c r="AB26" s="562"/>
      <c r="AC26" s="563"/>
      <c r="AD26" s="562"/>
      <c r="AE26" s="563"/>
      <c r="AF26" s="562"/>
      <c r="AG26" s="563"/>
      <c r="AH26" s="562"/>
      <c r="AI26" s="564"/>
      <c r="AJ26" s="565"/>
      <c r="AK26" s="566"/>
      <c r="AL26" s="565"/>
      <c r="AM26" s="565"/>
      <c r="AN26" s="565"/>
      <c r="AO26" s="565"/>
      <c r="AP26" s="565"/>
      <c r="AQ26" s="565"/>
      <c r="AR26" s="492"/>
      <c r="AS26" s="493"/>
      <c r="AT26" s="493"/>
      <c r="AU26" s="493"/>
      <c r="AV26" s="493"/>
      <c r="AW26" s="493"/>
      <c r="AX26" s="493"/>
      <c r="AY26" s="494"/>
      <c r="AZ26" s="96"/>
      <c r="BA26" s="9"/>
      <c r="BB26" s="9"/>
      <c r="BC26" s="126"/>
      <c r="BD26" s="126"/>
      <c r="BE26" s="126"/>
      <c r="BF26" s="129"/>
      <c r="BG26" s="129"/>
      <c r="BH26" s="129"/>
      <c r="BI26" s="129"/>
      <c r="BJ26" s="126"/>
      <c r="BK26" s="125"/>
      <c r="BL26" s="21"/>
      <c r="BM26" s="127"/>
      <c r="BN26" s="518"/>
      <c r="BO26" s="519"/>
      <c r="BP26" s="579"/>
      <c r="BQ26" s="107"/>
      <c r="BR26" s="108"/>
      <c r="BS26" s="488"/>
      <c r="BT26" s="489"/>
      <c r="BU26" s="490"/>
      <c r="BV26" s="491"/>
      <c r="BW26" s="488"/>
      <c r="BX26" s="490"/>
      <c r="BY26" s="490"/>
      <c r="BZ26" s="491"/>
      <c r="CA26" s="257"/>
      <c r="CB26" s="94"/>
      <c r="CC26" s="495"/>
      <c r="CD26" s="94"/>
      <c r="CE26" s="95"/>
      <c r="CF26" s="52"/>
    </row>
    <row r="27" spans="1:84" ht="30" customHeight="1" x14ac:dyDescent="0.3">
      <c r="A27" s="60" t="str">
        <f t="shared" si="0"/>
        <v>Unitil</v>
      </c>
      <c r="B27" s="66" t="s">
        <v>383</v>
      </c>
      <c r="C27" s="66" t="s">
        <v>383</v>
      </c>
      <c r="D27" s="58" t="s">
        <v>395</v>
      </c>
      <c r="E27" s="58" t="s">
        <v>395</v>
      </c>
      <c r="F27" s="58" t="s">
        <v>400</v>
      </c>
      <c r="G27" s="58" t="s">
        <v>395</v>
      </c>
      <c r="H27" s="10" t="s">
        <v>387</v>
      </c>
      <c r="I27" s="14" t="s">
        <v>453</v>
      </c>
      <c r="J27" s="128" t="s">
        <v>454</v>
      </c>
      <c r="K27" s="526"/>
      <c r="L27" s="526"/>
      <c r="M27" s="58"/>
      <c r="N27" s="559"/>
      <c r="O27" s="527"/>
      <c r="P27" s="524"/>
      <c r="Q27" s="560"/>
      <c r="R27" s="528"/>
      <c r="S27" s="18"/>
      <c r="T27" s="16"/>
      <c r="U27" s="128"/>
      <c r="V27" s="16"/>
      <c r="W27" s="128"/>
      <c r="X27" s="16"/>
      <c r="Y27" s="18"/>
      <c r="Z27" s="10"/>
      <c r="AA27" s="561"/>
      <c r="AB27" s="562"/>
      <c r="AC27" s="563"/>
      <c r="AD27" s="562"/>
      <c r="AE27" s="563"/>
      <c r="AF27" s="562"/>
      <c r="AG27" s="563"/>
      <c r="AH27" s="562"/>
      <c r="AI27" s="564"/>
      <c r="AJ27" s="565"/>
      <c r="AK27" s="566"/>
      <c r="AL27" s="565"/>
      <c r="AM27" s="565"/>
      <c r="AN27" s="565"/>
      <c r="AO27" s="565"/>
      <c r="AP27" s="565"/>
      <c r="AQ27" s="565"/>
      <c r="AR27" s="492"/>
      <c r="AS27" s="493"/>
      <c r="AT27" s="493"/>
      <c r="AU27" s="493"/>
      <c r="AV27" s="493"/>
      <c r="AW27" s="493"/>
      <c r="AX27" s="493"/>
      <c r="AY27" s="494"/>
      <c r="AZ27" s="96"/>
      <c r="BA27" s="9"/>
      <c r="BB27" s="9"/>
      <c r="BC27" s="126"/>
      <c r="BD27" s="126"/>
      <c r="BE27" s="126"/>
      <c r="BF27" s="129"/>
      <c r="BG27" s="129"/>
      <c r="BH27" s="129"/>
      <c r="BI27" s="129"/>
      <c r="BJ27" s="126"/>
      <c r="BK27" s="125"/>
      <c r="BL27" s="21"/>
      <c r="BM27" s="127"/>
      <c r="BN27" s="518"/>
      <c r="BO27" s="519"/>
      <c r="BP27" s="579"/>
      <c r="BQ27" s="107"/>
      <c r="BR27" s="108"/>
      <c r="BS27" s="488"/>
      <c r="BT27" s="489"/>
      <c r="BU27" s="490"/>
      <c r="BV27" s="491"/>
      <c r="BW27" s="488"/>
      <c r="BX27" s="490"/>
      <c r="BY27" s="490"/>
      <c r="BZ27" s="491"/>
      <c r="CA27" s="257"/>
      <c r="CB27" s="94"/>
      <c r="CC27" s="495"/>
      <c r="CD27" s="94"/>
      <c r="CE27" s="95"/>
      <c r="CF27" s="52"/>
    </row>
    <row r="28" spans="1:84" ht="30" customHeight="1" thickBot="1" x14ac:dyDescent="0.35">
      <c r="A28" s="60" t="str">
        <f t="shared" si="0"/>
        <v>Unitil</v>
      </c>
      <c r="B28" s="66" t="s">
        <v>383</v>
      </c>
      <c r="C28" s="66" t="s">
        <v>383</v>
      </c>
      <c r="D28" s="58" t="s">
        <v>395</v>
      </c>
      <c r="E28" s="58" t="s">
        <v>395</v>
      </c>
      <c r="F28" s="496"/>
      <c r="G28" s="496"/>
      <c r="H28" s="497"/>
      <c r="I28" s="529"/>
      <c r="J28" s="496"/>
      <c r="K28" s="496"/>
      <c r="L28" s="496"/>
      <c r="M28" s="496"/>
      <c r="N28" s="567"/>
      <c r="O28" s="530"/>
      <c r="P28" s="568"/>
      <c r="Q28" s="510"/>
      <c r="R28" s="531"/>
      <c r="S28" s="569"/>
      <c r="T28" s="569"/>
      <c r="U28" s="569"/>
      <c r="V28" s="569"/>
      <c r="W28" s="569"/>
      <c r="X28" s="569"/>
      <c r="Y28" s="569"/>
      <c r="Z28" s="569"/>
      <c r="AA28" s="569"/>
      <c r="AB28" s="569"/>
      <c r="AC28" s="569"/>
      <c r="AD28" s="569"/>
      <c r="AE28" s="569"/>
      <c r="AF28" s="569"/>
      <c r="AG28" s="569"/>
      <c r="AH28" s="569"/>
      <c r="AI28" s="569"/>
      <c r="AJ28" s="569"/>
      <c r="AK28" s="497"/>
      <c r="AL28" s="569"/>
      <c r="AM28" s="497"/>
      <c r="AN28" s="569"/>
      <c r="AO28" s="497"/>
      <c r="AP28" s="569"/>
      <c r="AQ28" s="497"/>
      <c r="AR28" s="492"/>
      <c r="AS28" s="493"/>
      <c r="AT28" s="493"/>
      <c r="AU28" s="493"/>
      <c r="AV28" s="493"/>
      <c r="AW28" s="493"/>
      <c r="AX28" s="493"/>
      <c r="AY28" s="494"/>
      <c r="AZ28" s="96"/>
      <c r="BA28" s="9"/>
      <c r="BB28" s="9"/>
      <c r="BC28" s="126"/>
      <c r="BD28" s="126"/>
      <c r="BE28" s="126"/>
      <c r="BF28" s="129"/>
      <c r="BG28" s="129"/>
      <c r="BH28" s="129"/>
      <c r="BI28" s="129"/>
      <c r="BJ28" s="126"/>
      <c r="BK28" s="125"/>
      <c r="BL28" s="21"/>
      <c r="BM28" s="127"/>
      <c r="BN28" s="515"/>
      <c r="BO28" s="516"/>
      <c r="BP28" s="517"/>
      <c r="BQ28" s="107"/>
      <c r="BR28" s="108"/>
      <c r="BS28" s="488"/>
      <c r="BT28" s="489"/>
      <c r="BU28" s="490"/>
      <c r="BV28" s="491"/>
      <c r="BW28" s="488"/>
      <c r="BX28" s="490"/>
      <c r="BY28" s="490"/>
      <c r="BZ28" s="491"/>
      <c r="CA28" s="257"/>
      <c r="CB28" s="94"/>
      <c r="CC28" s="495"/>
      <c r="CD28" s="94"/>
      <c r="CE28" s="95"/>
      <c r="CF28" s="52"/>
    </row>
    <row r="29" spans="1:84" ht="30" customHeight="1" x14ac:dyDescent="0.3">
      <c r="A29" s="60" t="str">
        <f t="shared" si="0"/>
        <v>Unitil</v>
      </c>
      <c r="B29" s="66" t="s">
        <v>383</v>
      </c>
      <c r="C29" s="66" t="s">
        <v>383</v>
      </c>
      <c r="D29" s="58" t="s">
        <v>401</v>
      </c>
      <c r="E29" s="58" t="s">
        <v>385</v>
      </c>
      <c r="F29" s="58" t="s">
        <v>402</v>
      </c>
      <c r="G29" s="58" t="s">
        <v>385</v>
      </c>
      <c r="H29" s="10" t="s">
        <v>387</v>
      </c>
      <c r="I29" s="14" t="s">
        <v>453</v>
      </c>
      <c r="J29" s="128" t="s">
        <v>454</v>
      </c>
      <c r="K29" s="526"/>
      <c r="L29" s="526"/>
      <c r="M29" s="58"/>
      <c r="N29" s="559"/>
      <c r="O29" s="527"/>
      <c r="P29" s="524"/>
      <c r="Q29" s="560"/>
      <c r="R29" s="528"/>
      <c r="S29" s="18"/>
      <c r="T29" s="16"/>
      <c r="U29" s="128"/>
      <c r="V29" s="16"/>
      <c r="W29" s="128"/>
      <c r="X29" s="16"/>
      <c r="Y29" s="18"/>
      <c r="Z29" s="10"/>
      <c r="AA29" s="561"/>
      <c r="AB29" s="562"/>
      <c r="AC29" s="563"/>
      <c r="AD29" s="562"/>
      <c r="AE29" s="563"/>
      <c r="AF29" s="562"/>
      <c r="AG29" s="563"/>
      <c r="AH29" s="562"/>
      <c r="AI29" s="564"/>
      <c r="AJ29" s="565"/>
      <c r="AK29" s="566"/>
      <c r="AL29" s="565"/>
      <c r="AM29" s="565"/>
      <c r="AN29" s="565"/>
      <c r="AO29" s="565"/>
      <c r="AP29" s="565"/>
      <c r="AQ29" s="565"/>
      <c r="AR29" s="492"/>
      <c r="AS29" s="493"/>
      <c r="AT29" s="493"/>
      <c r="AU29" s="493"/>
      <c r="AV29" s="493"/>
      <c r="AW29" s="493"/>
      <c r="AX29" s="493"/>
      <c r="AY29" s="494"/>
      <c r="AZ29" s="96"/>
      <c r="BA29" s="9"/>
      <c r="BB29" s="9"/>
      <c r="BC29" s="126"/>
      <c r="BD29" s="126"/>
      <c r="BE29" s="126"/>
      <c r="BF29" s="129"/>
      <c r="BG29" s="129"/>
      <c r="BH29" s="129"/>
      <c r="BI29" s="129"/>
      <c r="BJ29" s="126"/>
      <c r="BK29" s="125"/>
      <c r="BL29" s="21"/>
      <c r="BM29" s="127"/>
      <c r="BN29" s="511"/>
      <c r="BO29" s="514"/>
      <c r="BP29" s="513"/>
      <c r="BQ29" s="107"/>
      <c r="BR29" s="108"/>
      <c r="BS29" s="488"/>
      <c r="BT29" s="489"/>
      <c r="BU29" s="490"/>
      <c r="BV29" s="491"/>
      <c r="BW29" s="488"/>
      <c r="BX29" s="490"/>
      <c r="BY29" s="490"/>
      <c r="BZ29" s="491"/>
      <c r="CA29" s="257"/>
      <c r="CB29" s="94"/>
      <c r="CC29" s="495"/>
      <c r="CD29" s="94"/>
      <c r="CE29" s="95"/>
      <c r="CF29" s="52"/>
    </row>
    <row r="30" spans="1:84" ht="30" customHeight="1" thickBot="1" x14ac:dyDescent="0.35">
      <c r="A30" s="60" t="str">
        <f t="shared" si="0"/>
        <v>Unitil</v>
      </c>
      <c r="B30" s="66" t="s">
        <v>383</v>
      </c>
      <c r="C30" s="66" t="s">
        <v>383</v>
      </c>
      <c r="D30" s="58" t="s">
        <v>401</v>
      </c>
      <c r="E30" s="58" t="s">
        <v>385</v>
      </c>
      <c r="F30" s="496"/>
      <c r="G30" s="496"/>
      <c r="H30" s="497"/>
      <c r="I30" s="529"/>
      <c r="J30" s="496"/>
      <c r="K30" s="496"/>
      <c r="L30" s="496"/>
      <c r="M30" s="496"/>
      <c r="N30" s="567"/>
      <c r="O30" s="530"/>
      <c r="P30" s="568"/>
      <c r="Q30" s="510"/>
      <c r="R30" s="531"/>
      <c r="S30" s="569"/>
      <c r="T30" s="569"/>
      <c r="U30" s="569"/>
      <c r="V30" s="569"/>
      <c r="W30" s="569"/>
      <c r="X30" s="569"/>
      <c r="Y30" s="569"/>
      <c r="Z30" s="569"/>
      <c r="AA30" s="569"/>
      <c r="AB30" s="569"/>
      <c r="AC30" s="569"/>
      <c r="AD30" s="569"/>
      <c r="AE30" s="569"/>
      <c r="AF30" s="569"/>
      <c r="AG30" s="569"/>
      <c r="AH30" s="569"/>
      <c r="AI30" s="569"/>
      <c r="AJ30" s="569"/>
      <c r="AK30" s="497"/>
      <c r="AL30" s="569"/>
      <c r="AM30" s="497"/>
      <c r="AN30" s="569"/>
      <c r="AO30" s="497"/>
      <c r="AP30" s="569"/>
      <c r="AQ30" s="497"/>
      <c r="AR30" s="492"/>
      <c r="AS30" s="493"/>
      <c r="AT30" s="493"/>
      <c r="AU30" s="493"/>
      <c r="AV30" s="493"/>
      <c r="AW30" s="493"/>
      <c r="AX30" s="493"/>
      <c r="AY30" s="494"/>
      <c r="AZ30" s="96"/>
      <c r="BA30" s="9"/>
      <c r="BB30" s="9"/>
      <c r="BC30" s="126"/>
      <c r="BD30" s="126"/>
      <c r="BE30" s="126"/>
      <c r="BF30" s="129"/>
      <c r="BG30" s="129"/>
      <c r="BH30" s="129"/>
      <c r="BI30" s="129"/>
      <c r="BJ30" s="126"/>
      <c r="BK30" s="125"/>
      <c r="BL30" s="21"/>
      <c r="BM30" s="127"/>
      <c r="BN30" s="515"/>
      <c r="BO30" s="516"/>
      <c r="BP30" s="517"/>
      <c r="BQ30" s="107"/>
      <c r="BR30" s="108"/>
      <c r="BS30" s="488"/>
      <c r="BT30" s="489"/>
      <c r="BU30" s="490"/>
      <c r="BV30" s="491"/>
      <c r="BW30" s="488"/>
      <c r="BX30" s="490"/>
      <c r="BY30" s="490"/>
      <c r="BZ30" s="491"/>
      <c r="CA30" s="257"/>
      <c r="CB30" s="94"/>
      <c r="CC30" s="495"/>
      <c r="CD30" s="94"/>
      <c r="CE30" s="95"/>
      <c r="CF30" s="52"/>
    </row>
    <row r="31" spans="1:84" ht="30" customHeight="1" x14ac:dyDescent="0.3">
      <c r="A31" s="60" t="str">
        <f t="shared" si="0"/>
        <v>Unitil</v>
      </c>
      <c r="B31" s="66" t="s">
        <v>383</v>
      </c>
      <c r="C31" s="66" t="s">
        <v>383</v>
      </c>
      <c r="D31" s="58" t="s">
        <v>403</v>
      </c>
      <c r="E31" s="58" t="s">
        <v>385</v>
      </c>
      <c r="F31" s="58">
        <v>1341</v>
      </c>
      <c r="G31" s="58" t="s">
        <v>385</v>
      </c>
      <c r="H31" s="10" t="s">
        <v>387</v>
      </c>
      <c r="I31" s="14" t="s">
        <v>453</v>
      </c>
      <c r="J31" s="128" t="s">
        <v>454</v>
      </c>
      <c r="K31" s="526"/>
      <c r="L31" s="526"/>
      <c r="M31" s="58"/>
      <c r="N31" s="570"/>
      <c r="O31" s="527"/>
      <c r="P31" s="571"/>
      <c r="Q31" s="560"/>
      <c r="R31" s="528"/>
      <c r="S31" s="18"/>
      <c r="T31" s="16"/>
      <c r="U31" s="128"/>
      <c r="V31" s="16"/>
      <c r="W31" s="128"/>
      <c r="X31" s="16"/>
      <c r="Y31" s="18"/>
      <c r="Z31" s="10"/>
      <c r="AA31" s="561"/>
      <c r="AB31" s="562"/>
      <c r="AC31" s="563"/>
      <c r="AD31" s="562"/>
      <c r="AE31" s="563"/>
      <c r="AF31" s="562"/>
      <c r="AG31" s="563"/>
      <c r="AH31" s="562"/>
      <c r="AI31" s="564"/>
      <c r="AJ31" s="565"/>
      <c r="AK31" s="566"/>
      <c r="AL31" s="565"/>
      <c r="AM31" s="565"/>
      <c r="AN31" s="565"/>
      <c r="AO31" s="565"/>
      <c r="AP31" s="565"/>
      <c r="AQ31" s="565"/>
      <c r="AR31" s="492"/>
      <c r="AS31" s="493"/>
      <c r="AT31" s="493"/>
      <c r="AU31" s="493"/>
      <c r="AV31" s="493"/>
      <c r="AW31" s="493"/>
      <c r="AX31" s="493"/>
      <c r="AY31" s="494"/>
      <c r="AZ31" s="96"/>
      <c r="BA31" s="9"/>
      <c r="BB31" s="9"/>
      <c r="BC31" s="126"/>
      <c r="BD31" s="126"/>
      <c r="BE31" s="126"/>
      <c r="BF31" s="129"/>
      <c r="BG31" s="129"/>
      <c r="BH31" s="129"/>
      <c r="BI31" s="129"/>
      <c r="BJ31" s="126"/>
      <c r="BK31" s="125"/>
      <c r="BL31" s="21"/>
      <c r="BM31" s="127"/>
      <c r="BN31" s="511"/>
      <c r="BO31" s="514"/>
      <c r="BP31" s="513"/>
      <c r="BQ31" s="107"/>
      <c r="BR31" s="108"/>
      <c r="BS31" s="488"/>
      <c r="BT31" s="489"/>
      <c r="BU31" s="490"/>
      <c r="BV31" s="491"/>
      <c r="BW31" s="488"/>
      <c r="BX31" s="490"/>
      <c r="BY31" s="490"/>
      <c r="BZ31" s="491"/>
      <c r="CA31" s="257"/>
      <c r="CB31" s="94"/>
      <c r="CC31" s="495"/>
      <c r="CD31" s="94"/>
      <c r="CE31" s="95"/>
      <c r="CF31" s="52"/>
    </row>
    <row r="32" spans="1:84" ht="30" customHeight="1" thickBot="1" x14ac:dyDescent="0.35">
      <c r="A32" s="60" t="str">
        <f t="shared" si="0"/>
        <v>Unitil</v>
      </c>
      <c r="B32" s="66" t="s">
        <v>383</v>
      </c>
      <c r="C32" s="66" t="s">
        <v>383</v>
      </c>
      <c r="D32" s="58" t="s">
        <v>403</v>
      </c>
      <c r="E32" s="58" t="s">
        <v>385</v>
      </c>
      <c r="F32" s="496"/>
      <c r="G32" s="496"/>
      <c r="H32" s="497"/>
      <c r="I32" s="529"/>
      <c r="J32" s="496"/>
      <c r="K32" s="496"/>
      <c r="L32" s="496"/>
      <c r="M32" s="496"/>
      <c r="N32" s="567"/>
      <c r="O32" s="530"/>
      <c r="P32" s="568"/>
      <c r="Q32" s="510"/>
      <c r="R32" s="531"/>
      <c r="S32" s="569"/>
      <c r="T32" s="569"/>
      <c r="U32" s="569"/>
      <c r="V32" s="569"/>
      <c r="W32" s="569"/>
      <c r="X32" s="569"/>
      <c r="Y32" s="569"/>
      <c r="Z32" s="569"/>
      <c r="AA32" s="569"/>
      <c r="AB32" s="569"/>
      <c r="AC32" s="569"/>
      <c r="AD32" s="569"/>
      <c r="AE32" s="569"/>
      <c r="AF32" s="569"/>
      <c r="AG32" s="569"/>
      <c r="AH32" s="569"/>
      <c r="AI32" s="569"/>
      <c r="AJ32" s="569"/>
      <c r="AK32" s="497"/>
      <c r="AL32" s="569"/>
      <c r="AM32" s="497"/>
      <c r="AN32" s="569"/>
      <c r="AO32" s="497"/>
      <c r="AP32" s="569"/>
      <c r="AQ32" s="497"/>
      <c r="AR32" s="492"/>
      <c r="AS32" s="493"/>
      <c r="AT32" s="493"/>
      <c r="AU32" s="493"/>
      <c r="AV32" s="493"/>
      <c r="AW32" s="493"/>
      <c r="AX32" s="493"/>
      <c r="AY32" s="494"/>
      <c r="AZ32" s="96"/>
      <c r="BA32" s="9"/>
      <c r="BB32" s="9"/>
      <c r="BC32" s="126"/>
      <c r="BD32" s="126"/>
      <c r="BE32" s="126"/>
      <c r="BF32" s="129"/>
      <c r="BG32" s="129"/>
      <c r="BH32" s="129"/>
      <c r="BI32" s="129"/>
      <c r="BJ32" s="126"/>
      <c r="BK32" s="125"/>
      <c r="BL32" s="21"/>
      <c r="BM32" s="127"/>
      <c r="BN32" s="515"/>
      <c r="BO32" s="516"/>
      <c r="BP32" s="517"/>
      <c r="BQ32" s="107"/>
      <c r="BR32" s="108"/>
      <c r="BS32" s="488"/>
      <c r="BT32" s="489"/>
      <c r="BU32" s="490"/>
      <c r="BV32" s="491"/>
      <c r="BW32" s="488"/>
      <c r="BX32" s="490"/>
      <c r="BY32" s="490"/>
      <c r="BZ32" s="491"/>
      <c r="CA32" s="257"/>
      <c r="CB32" s="94"/>
      <c r="CC32" s="495"/>
      <c r="CD32" s="94"/>
      <c r="CE32" s="95"/>
      <c r="CF32" s="52"/>
    </row>
    <row r="33" spans="1:84" ht="30" customHeight="1" thickBot="1" x14ac:dyDescent="0.35">
      <c r="A33" s="60" t="str">
        <f t="shared" si="0"/>
        <v>Unitil</v>
      </c>
      <c r="B33" s="66" t="s">
        <v>383</v>
      </c>
      <c r="C33" s="66" t="s">
        <v>383</v>
      </c>
      <c r="D33" s="58" t="s">
        <v>404</v>
      </c>
      <c r="E33" s="58" t="s">
        <v>385</v>
      </c>
      <c r="F33" s="58" t="s">
        <v>405</v>
      </c>
      <c r="G33" s="58" t="s">
        <v>385</v>
      </c>
      <c r="H33" s="10" t="s">
        <v>387</v>
      </c>
      <c r="I33" s="14" t="s">
        <v>458</v>
      </c>
      <c r="J33" s="128" t="s">
        <v>454</v>
      </c>
      <c r="K33" s="526"/>
      <c r="L33" s="526"/>
      <c r="M33" s="58"/>
      <c r="N33" s="570"/>
      <c r="O33" s="527"/>
      <c r="P33" s="524"/>
      <c r="Q33" s="560"/>
      <c r="R33" s="528"/>
      <c r="S33" s="18"/>
      <c r="T33" s="16"/>
      <c r="U33" s="128"/>
      <c r="V33" s="16"/>
      <c r="W33" s="18"/>
      <c r="X33" s="16"/>
      <c r="Y33" s="18"/>
      <c r="Z33" s="10"/>
      <c r="AA33" s="561"/>
      <c r="AB33" s="562"/>
      <c r="AC33" s="563"/>
      <c r="AD33" s="562"/>
      <c r="AE33" s="563"/>
      <c r="AF33" s="562"/>
      <c r="AG33" s="563"/>
      <c r="AH33" s="562"/>
      <c r="AI33" s="564"/>
      <c r="AJ33" s="565"/>
      <c r="AK33" s="566"/>
      <c r="AL33" s="565"/>
      <c r="AM33" s="565"/>
      <c r="AN33" s="565"/>
      <c r="AO33" s="565"/>
      <c r="AP33" s="565"/>
      <c r="AQ33" s="565"/>
      <c r="AR33" s="492"/>
      <c r="AS33" s="493"/>
      <c r="AT33" s="493"/>
      <c r="AU33" s="493"/>
      <c r="AV33" s="493"/>
      <c r="AW33" s="493"/>
      <c r="AX33" s="493"/>
      <c r="AY33" s="494"/>
      <c r="AZ33" s="96"/>
      <c r="BA33" s="9"/>
      <c r="BB33" s="9"/>
      <c r="BC33" s="126"/>
      <c r="BD33" s="126"/>
      <c r="BE33" s="126"/>
      <c r="BF33" s="129"/>
      <c r="BG33" s="129"/>
      <c r="BH33" s="129"/>
      <c r="BI33" s="129"/>
      <c r="BJ33" s="126"/>
      <c r="BK33" s="125"/>
      <c r="BL33" s="21"/>
      <c r="BM33" s="127"/>
      <c r="BN33" s="511"/>
      <c r="BO33" s="514"/>
      <c r="BP33" s="513"/>
      <c r="BQ33" s="107"/>
      <c r="BR33" s="108"/>
      <c r="BS33" s="488"/>
      <c r="BT33" s="489"/>
      <c r="BU33" s="490"/>
      <c r="BV33" s="491"/>
      <c r="BW33" s="488"/>
      <c r="BX33" s="490"/>
      <c r="BY33" s="490"/>
      <c r="BZ33" s="491"/>
      <c r="CA33" s="257"/>
      <c r="CB33" s="94"/>
      <c r="CC33" s="495"/>
      <c r="CD33" s="94"/>
      <c r="CE33" s="95"/>
      <c r="CF33" s="52"/>
    </row>
    <row r="34" spans="1:84" ht="30" customHeight="1" thickBot="1" x14ac:dyDescent="0.35">
      <c r="A34" s="60" t="str">
        <f t="shared" si="0"/>
        <v>Unitil</v>
      </c>
      <c r="B34" s="66" t="s">
        <v>383</v>
      </c>
      <c r="C34" s="66" t="s">
        <v>383</v>
      </c>
      <c r="D34" s="58" t="s">
        <v>404</v>
      </c>
      <c r="E34" s="58" t="s">
        <v>385</v>
      </c>
      <c r="F34" s="58" t="s">
        <v>406</v>
      </c>
      <c r="G34" s="58" t="s">
        <v>385</v>
      </c>
      <c r="H34" s="10" t="s">
        <v>387</v>
      </c>
      <c r="I34" s="14" t="s">
        <v>458</v>
      </c>
      <c r="J34" s="128" t="s">
        <v>454</v>
      </c>
      <c r="K34" s="526"/>
      <c r="L34" s="526"/>
      <c r="M34" s="58"/>
      <c r="N34" s="570"/>
      <c r="O34" s="527"/>
      <c r="P34" s="524"/>
      <c r="Q34" s="560"/>
      <c r="R34" s="528"/>
      <c r="S34" s="18"/>
      <c r="T34" s="16"/>
      <c r="U34" s="18"/>
      <c r="V34" s="16"/>
      <c r="W34" s="18"/>
      <c r="X34" s="16"/>
      <c r="Y34" s="18"/>
      <c r="Z34" s="10"/>
      <c r="AA34" s="561"/>
      <c r="AB34" s="562"/>
      <c r="AC34" s="563"/>
      <c r="AD34" s="562"/>
      <c r="AE34" s="563"/>
      <c r="AF34" s="562"/>
      <c r="AG34" s="563"/>
      <c r="AH34" s="562"/>
      <c r="AI34" s="564"/>
      <c r="AJ34" s="565"/>
      <c r="AK34" s="566"/>
      <c r="AL34" s="565"/>
      <c r="AM34" s="565"/>
      <c r="AN34" s="565"/>
      <c r="AO34" s="565"/>
      <c r="AP34" s="565"/>
      <c r="AQ34" s="565"/>
      <c r="AR34" s="492"/>
      <c r="AS34" s="493"/>
      <c r="AT34" s="493"/>
      <c r="AU34" s="493"/>
      <c r="AV34" s="493"/>
      <c r="AW34" s="493"/>
      <c r="AX34" s="493"/>
      <c r="AY34" s="494"/>
      <c r="AZ34" s="96"/>
      <c r="BA34" s="9"/>
      <c r="BB34" s="9"/>
      <c r="BC34" s="126"/>
      <c r="BD34" s="126"/>
      <c r="BE34" s="126"/>
      <c r="BF34" s="129"/>
      <c r="BG34" s="129"/>
      <c r="BH34" s="129"/>
      <c r="BI34" s="129"/>
      <c r="BJ34" s="126"/>
      <c r="BK34" s="125"/>
      <c r="BL34" s="21"/>
      <c r="BM34" s="127"/>
      <c r="BN34" s="511"/>
      <c r="BO34" s="514"/>
      <c r="BP34" s="513"/>
      <c r="BQ34" s="107"/>
      <c r="BR34" s="108"/>
      <c r="BS34" s="488"/>
      <c r="BT34" s="489"/>
      <c r="BU34" s="490"/>
      <c r="BV34" s="491"/>
      <c r="BW34" s="488"/>
      <c r="BX34" s="490"/>
      <c r="BY34" s="490"/>
      <c r="BZ34" s="491"/>
      <c r="CA34" s="257"/>
      <c r="CB34" s="94"/>
      <c r="CC34" s="495"/>
      <c r="CD34" s="94"/>
      <c r="CE34" s="95"/>
      <c r="CF34" s="52"/>
    </row>
    <row r="35" spans="1:84" ht="30" customHeight="1" thickBot="1" x14ac:dyDescent="0.35">
      <c r="A35" s="60" t="str">
        <f t="shared" si="0"/>
        <v>Unitil</v>
      </c>
      <c r="B35" s="66" t="s">
        <v>383</v>
      </c>
      <c r="C35" s="66" t="s">
        <v>383</v>
      </c>
      <c r="D35" s="58" t="s">
        <v>404</v>
      </c>
      <c r="E35" s="58" t="s">
        <v>385</v>
      </c>
      <c r="F35" s="58" t="s">
        <v>407</v>
      </c>
      <c r="G35" s="58" t="s">
        <v>385</v>
      </c>
      <c r="H35" s="10" t="s">
        <v>387</v>
      </c>
      <c r="I35" s="14" t="s">
        <v>458</v>
      </c>
      <c r="J35" s="128" t="s">
        <v>454</v>
      </c>
      <c r="K35" s="526"/>
      <c r="L35" s="526"/>
      <c r="M35" s="58"/>
      <c r="N35" s="570"/>
      <c r="O35" s="527"/>
      <c r="P35" s="524"/>
      <c r="Q35" s="560"/>
      <c r="R35" s="528"/>
      <c r="S35" s="18"/>
      <c r="T35" s="16"/>
      <c r="U35" s="18"/>
      <c r="V35" s="16"/>
      <c r="W35" s="18"/>
      <c r="X35" s="16"/>
      <c r="Y35" s="18"/>
      <c r="Z35" s="10"/>
      <c r="AA35" s="561"/>
      <c r="AB35" s="562"/>
      <c r="AC35" s="563"/>
      <c r="AD35" s="562"/>
      <c r="AE35" s="563"/>
      <c r="AF35" s="562"/>
      <c r="AG35" s="563"/>
      <c r="AH35" s="562"/>
      <c r="AI35" s="564"/>
      <c r="AJ35" s="565"/>
      <c r="AK35" s="566"/>
      <c r="AL35" s="565"/>
      <c r="AM35" s="565"/>
      <c r="AN35" s="565"/>
      <c r="AO35" s="565"/>
      <c r="AP35" s="565"/>
      <c r="AQ35" s="565"/>
      <c r="AR35" s="492"/>
      <c r="AS35" s="493"/>
      <c r="AT35" s="493"/>
      <c r="AU35" s="493"/>
      <c r="AV35" s="493"/>
      <c r="AW35" s="493"/>
      <c r="AX35" s="493"/>
      <c r="AY35" s="494"/>
      <c r="AZ35" s="96"/>
      <c r="BA35" s="9"/>
      <c r="BB35" s="9"/>
      <c r="BC35" s="126"/>
      <c r="BD35" s="126"/>
      <c r="BE35" s="126"/>
      <c r="BF35" s="129"/>
      <c r="BG35" s="129"/>
      <c r="BH35" s="129"/>
      <c r="BI35" s="129"/>
      <c r="BJ35" s="126"/>
      <c r="BK35" s="125"/>
      <c r="BL35" s="21"/>
      <c r="BM35" s="127"/>
      <c r="BN35" s="511"/>
      <c r="BO35" s="514"/>
      <c r="BP35" s="513"/>
      <c r="BQ35" s="107"/>
      <c r="BR35" s="108"/>
      <c r="BS35" s="488"/>
      <c r="BT35" s="489"/>
      <c r="BU35" s="490"/>
      <c r="BV35" s="491"/>
      <c r="BW35" s="488"/>
      <c r="BX35" s="490"/>
      <c r="BY35" s="490"/>
      <c r="BZ35" s="491"/>
      <c r="CA35" s="257"/>
      <c r="CB35" s="94"/>
      <c r="CC35" s="495"/>
      <c r="CD35" s="94"/>
      <c r="CE35" s="95"/>
      <c r="CF35" s="52"/>
    </row>
    <row r="36" spans="1:84" ht="30" customHeight="1" thickBot="1" x14ac:dyDescent="0.35">
      <c r="A36" s="60" t="str">
        <f t="shared" si="0"/>
        <v>Unitil</v>
      </c>
      <c r="B36" s="66" t="s">
        <v>383</v>
      </c>
      <c r="C36" s="66" t="s">
        <v>383</v>
      </c>
      <c r="D36" s="58" t="s">
        <v>404</v>
      </c>
      <c r="E36" s="58" t="s">
        <v>385</v>
      </c>
      <c r="F36" s="58" t="s">
        <v>408</v>
      </c>
      <c r="G36" s="58" t="s">
        <v>385</v>
      </c>
      <c r="H36" s="10" t="s">
        <v>387</v>
      </c>
      <c r="I36" s="14" t="s">
        <v>458</v>
      </c>
      <c r="J36" s="128" t="s">
        <v>454</v>
      </c>
      <c r="K36" s="526"/>
      <c r="L36" s="526"/>
      <c r="M36" s="58"/>
      <c r="N36" s="570"/>
      <c r="O36" s="527"/>
      <c r="P36" s="524"/>
      <c r="Q36" s="560"/>
      <c r="R36" s="528"/>
      <c r="S36" s="18"/>
      <c r="T36" s="16"/>
      <c r="U36" s="18"/>
      <c r="V36" s="16"/>
      <c r="W36" s="18"/>
      <c r="X36" s="16"/>
      <c r="Y36" s="18"/>
      <c r="Z36" s="10"/>
      <c r="AA36" s="561"/>
      <c r="AB36" s="562"/>
      <c r="AC36" s="563"/>
      <c r="AD36" s="562"/>
      <c r="AE36" s="563"/>
      <c r="AF36" s="562"/>
      <c r="AG36" s="563"/>
      <c r="AH36" s="562"/>
      <c r="AI36" s="564"/>
      <c r="AJ36" s="565"/>
      <c r="AK36" s="566"/>
      <c r="AL36" s="565"/>
      <c r="AM36" s="565"/>
      <c r="AN36" s="565"/>
      <c r="AO36" s="565"/>
      <c r="AP36" s="565"/>
      <c r="AQ36" s="565"/>
      <c r="AR36" s="492"/>
      <c r="AS36" s="493"/>
      <c r="AT36" s="493"/>
      <c r="AU36" s="493"/>
      <c r="AV36" s="493"/>
      <c r="AW36" s="493"/>
      <c r="AX36" s="493"/>
      <c r="AY36" s="494"/>
      <c r="AZ36" s="96"/>
      <c r="BA36" s="9"/>
      <c r="BB36" s="9"/>
      <c r="BC36" s="126"/>
      <c r="BD36" s="126"/>
      <c r="BE36" s="126"/>
      <c r="BF36" s="129"/>
      <c r="BG36" s="129"/>
      <c r="BH36" s="129"/>
      <c r="BI36" s="129"/>
      <c r="BJ36" s="126"/>
      <c r="BK36" s="125"/>
      <c r="BL36" s="21"/>
      <c r="BM36" s="127"/>
      <c r="BN36" s="511"/>
      <c r="BO36" s="514"/>
      <c r="BP36" s="513"/>
      <c r="BQ36" s="107"/>
      <c r="BR36" s="108"/>
      <c r="BS36" s="488"/>
      <c r="BT36" s="489"/>
      <c r="BU36" s="490"/>
      <c r="BV36" s="491"/>
      <c r="BW36" s="488"/>
      <c r="BX36" s="490"/>
      <c r="BY36" s="490"/>
      <c r="BZ36" s="491"/>
      <c r="CA36" s="257"/>
      <c r="CB36" s="94"/>
      <c r="CC36" s="495"/>
      <c r="CD36" s="94"/>
      <c r="CE36" s="95"/>
      <c r="CF36" s="52"/>
    </row>
    <row r="37" spans="1:84" ht="30" customHeight="1" thickBot="1" x14ac:dyDescent="0.35">
      <c r="A37" s="60" t="str">
        <f t="shared" si="0"/>
        <v>Unitil</v>
      </c>
      <c r="B37" s="66" t="s">
        <v>383</v>
      </c>
      <c r="C37" s="66" t="s">
        <v>383</v>
      </c>
      <c r="D37" s="58" t="s">
        <v>404</v>
      </c>
      <c r="E37" s="58" t="s">
        <v>385</v>
      </c>
      <c r="F37" s="58" t="s">
        <v>409</v>
      </c>
      <c r="G37" s="58" t="s">
        <v>385</v>
      </c>
      <c r="H37" s="10" t="s">
        <v>387</v>
      </c>
      <c r="I37" s="14" t="s">
        <v>458</v>
      </c>
      <c r="J37" s="128" t="s">
        <v>454</v>
      </c>
      <c r="K37" s="526"/>
      <c r="L37" s="526"/>
      <c r="M37" s="58"/>
      <c r="N37" s="570"/>
      <c r="O37" s="527"/>
      <c r="P37" s="524"/>
      <c r="Q37" s="560"/>
      <c r="R37" s="528"/>
      <c r="S37" s="18"/>
      <c r="T37" s="16"/>
      <c r="U37" s="18"/>
      <c r="V37" s="16"/>
      <c r="W37" s="18"/>
      <c r="X37" s="16"/>
      <c r="Y37" s="18"/>
      <c r="Z37" s="10"/>
      <c r="AA37" s="561"/>
      <c r="AB37" s="562"/>
      <c r="AC37" s="563"/>
      <c r="AD37" s="562"/>
      <c r="AE37" s="563"/>
      <c r="AF37" s="562"/>
      <c r="AG37" s="563"/>
      <c r="AH37" s="562"/>
      <c r="AI37" s="564"/>
      <c r="AJ37" s="565"/>
      <c r="AK37" s="566"/>
      <c r="AL37" s="565"/>
      <c r="AM37" s="565"/>
      <c r="AN37" s="565"/>
      <c r="AO37" s="565"/>
      <c r="AP37" s="565"/>
      <c r="AQ37" s="565"/>
      <c r="AR37" s="492"/>
      <c r="AS37" s="493"/>
      <c r="AT37" s="493"/>
      <c r="AU37" s="493"/>
      <c r="AV37" s="493"/>
      <c r="AW37" s="493"/>
      <c r="AX37" s="493"/>
      <c r="AY37" s="494"/>
      <c r="AZ37" s="96"/>
      <c r="BA37" s="9"/>
      <c r="BB37" s="9"/>
      <c r="BC37" s="126"/>
      <c r="BD37" s="126"/>
      <c r="BE37" s="126"/>
      <c r="BF37" s="129"/>
      <c r="BG37" s="129"/>
      <c r="BH37" s="129"/>
      <c r="BI37" s="129"/>
      <c r="BJ37" s="126"/>
      <c r="BK37" s="125"/>
      <c r="BL37" s="21"/>
      <c r="BM37" s="127"/>
      <c r="BN37" s="511"/>
      <c r="BO37" s="514"/>
      <c r="BP37" s="513"/>
      <c r="BQ37" s="107"/>
      <c r="BR37" s="108"/>
      <c r="BS37" s="488"/>
      <c r="BT37" s="489"/>
      <c r="BU37" s="490"/>
      <c r="BV37" s="491"/>
      <c r="BW37" s="488"/>
      <c r="BX37" s="490"/>
      <c r="BY37" s="490"/>
      <c r="BZ37" s="491"/>
      <c r="CA37" s="257"/>
      <c r="CB37" s="94"/>
      <c r="CC37" s="495"/>
      <c r="CD37" s="94"/>
      <c r="CE37" s="95"/>
      <c r="CF37" s="52"/>
    </row>
    <row r="38" spans="1:84" ht="30" customHeight="1" thickBot="1" x14ac:dyDescent="0.35">
      <c r="A38" s="60" t="str">
        <f t="shared" si="0"/>
        <v>Unitil</v>
      </c>
      <c r="B38" s="66" t="s">
        <v>383</v>
      </c>
      <c r="C38" s="66" t="s">
        <v>383</v>
      </c>
      <c r="D38" s="58" t="s">
        <v>404</v>
      </c>
      <c r="E38" s="58" t="s">
        <v>385</v>
      </c>
      <c r="F38" s="58" t="s">
        <v>410</v>
      </c>
      <c r="G38" s="58" t="s">
        <v>385</v>
      </c>
      <c r="H38" s="10" t="s">
        <v>387</v>
      </c>
      <c r="I38" s="14" t="s">
        <v>458</v>
      </c>
      <c r="J38" s="128" t="s">
        <v>454</v>
      </c>
      <c r="K38" s="526"/>
      <c r="L38" s="526"/>
      <c r="M38" s="58"/>
      <c r="N38" s="570"/>
      <c r="O38" s="527"/>
      <c r="P38" s="524"/>
      <c r="Q38" s="560"/>
      <c r="R38" s="528"/>
      <c r="S38" s="18"/>
      <c r="T38" s="16"/>
      <c r="U38" s="18"/>
      <c r="V38" s="16"/>
      <c r="W38" s="18"/>
      <c r="X38" s="16"/>
      <c r="Y38" s="18"/>
      <c r="Z38" s="10"/>
      <c r="AA38" s="561"/>
      <c r="AB38" s="562"/>
      <c r="AC38" s="563"/>
      <c r="AD38" s="562"/>
      <c r="AE38" s="563"/>
      <c r="AF38" s="562"/>
      <c r="AG38" s="563"/>
      <c r="AH38" s="562"/>
      <c r="AI38" s="564"/>
      <c r="AJ38" s="565"/>
      <c r="AK38" s="566"/>
      <c r="AL38" s="565"/>
      <c r="AM38" s="565"/>
      <c r="AN38" s="565"/>
      <c r="AO38" s="565"/>
      <c r="AP38" s="565"/>
      <c r="AQ38" s="565"/>
      <c r="AR38" s="492"/>
      <c r="AS38" s="493"/>
      <c r="AT38" s="493"/>
      <c r="AU38" s="493"/>
      <c r="AV38" s="493"/>
      <c r="AW38" s="493"/>
      <c r="AX38" s="493"/>
      <c r="AY38" s="494"/>
      <c r="AZ38" s="96"/>
      <c r="BA38" s="9"/>
      <c r="BB38" s="9"/>
      <c r="BC38" s="126"/>
      <c r="BD38" s="126"/>
      <c r="BE38" s="126"/>
      <c r="BF38" s="129"/>
      <c r="BG38" s="129"/>
      <c r="BH38" s="129"/>
      <c r="BI38" s="129"/>
      <c r="BJ38" s="126"/>
      <c r="BK38" s="125"/>
      <c r="BL38" s="21"/>
      <c r="BM38" s="127"/>
      <c r="BN38" s="511"/>
      <c r="BO38" s="514"/>
      <c r="BP38" s="513"/>
      <c r="BQ38" s="107"/>
      <c r="BR38" s="108"/>
      <c r="BS38" s="488"/>
      <c r="BT38" s="489"/>
      <c r="BU38" s="490"/>
      <c r="BV38" s="491"/>
      <c r="BW38" s="488"/>
      <c r="BX38" s="490"/>
      <c r="BY38" s="490"/>
      <c r="BZ38" s="491"/>
      <c r="CA38" s="257"/>
      <c r="CB38" s="94"/>
      <c r="CC38" s="495"/>
      <c r="CD38" s="94"/>
      <c r="CE38" s="95"/>
      <c r="CF38" s="52"/>
    </row>
    <row r="39" spans="1:84" ht="30" customHeight="1" thickBot="1" x14ac:dyDescent="0.35">
      <c r="A39" s="60" t="str">
        <f t="shared" si="0"/>
        <v>Unitil</v>
      </c>
      <c r="B39" s="66" t="s">
        <v>383</v>
      </c>
      <c r="C39" s="66" t="s">
        <v>383</v>
      </c>
      <c r="D39" s="58" t="s">
        <v>404</v>
      </c>
      <c r="E39" s="58" t="s">
        <v>385</v>
      </c>
      <c r="F39" s="58" t="s">
        <v>411</v>
      </c>
      <c r="G39" s="58" t="s">
        <v>385</v>
      </c>
      <c r="H39" s="10" t="s">
        <v>387</v>
      </c>
      <c r="I39" s="14" t="s">
        <v>458</v>
      </c>
      <c r="J39" s="128" t="s">
        <v>454</v>
      </c>
      <c r="K39" s="532"/>
      <c r="L39" s="526"/>
      <c r="M39" s="533"/>
      <c r="N39" s="570"/>
      <c r="O39" s="527"/>
      <c r="P39" s="524"/>
      <c r="Q39" s="560"/>
      <c r="R39" s="528"/>
      <c r="S39" s="18"/>
      <c r="T39" s="16"/>
      <c r="U39" s="18"/>
      <c r="V39" s="16"/>
      <c r="W39" s="18"/>
      <c r="X39" s="16"/>
      <c r="Y39" s="18"/>
      <c r="Z39" s="10"/>
      <c r="AA39" s="561"/>
      <c r="AB39" s="562"/>
      <c r="AC39" s="563"/>
      <c r="AD39" s="562"/>
      <c r="AE39" s="563"/>
      <c r="AF39" s="562"/>
      <c r="AG39" s="563"/>
      <c r="AH39" s="562"/>
      <c r="AI39" s="564"/>
      <c r="AJ39" s="565"/>
      <c r="AK39" s="566"/>
      <c r="AL39" s="565"/>
      <c r="AM39" s="565"/>
      <c r="AN39" s="565"/>
      <c r="AO39" s="565"/>
      <c r="AP39" s="565"/>
      <c r="AQ39" s="565"/>
      <c r="AR39" s="492"/>
      <c r="AS39" s="493"/>
      <c r="AT39" s="493"/>
      <c r="AU39" s="493"/>
      <c r="AV39" s="493"/>
      <c r="AW39" s="493"/>
      <c r="AX39" s="493"/>
      <c r="AY39" s="494"/>
      <c r="AZ39" s="96"/>
      <c r="BA39" s="9"/>
      <c r="BB39" s="9"/>
      <c r="BC39" s="126"/>
      <c r="BD39" s="126"/>
      <c r="BE39" s="126"/>
      <c r="BF39" s="129"/>
      <c r="BG39" s="129"/>
      <c r="BH39" s="129"/>
      <c r="BI39" s="129"/>
      <c r="BJ39" s="126"/>
      <c r="BK39" s="125"/>
      <c r="BL39" s="21"/>
      <c r="BM39" s="127"/>
      <c r="BN39" s="511"/>
      <c r="BO39" s="514"/>
      <c r="BP39" s="513"/>
      <c r="BQ39" s="107"/>
      <c r="BR39" s="108"/>
      <c r="BS39" s="488"/>
      <c r="BT39" s="489"/>
      <c r="BU39" s="490"/>
      <c r="BV39" s="491"/>
      <c r="BW39" s="488"/>
      <c r="BX39" s="490"/>
      <c r="BY39" s="490"/>
      <c r="BZ39" s="491"/>
      <c r="CA39" s="257"/>
      <c r="CB39" s="94"/>
      <c r="CC39" s="495"/>
      <c r="CD39" s="94"/>
      <c r="CE39" s="95"/>
      <c r="CF39" s="52"/>
    </row>
    <row r="40" spans="1:84" ht="30" customHeight="1" thickBot="1" x14ac:dyDescent="0.35">
      <c r="A40" s="60" t="str">
        <f t="shared" si="0"/>
        <v>Unitil</v>
      </c>
      <c r="B40" s="66" t="s">
        <v>383</v>
      </c>
      <c r="C40" s="66" t="s">
        <v>383</v>
      </c>
      <c r="D40" s="58" t="s">
        <v>404</v>
      </c>
      <c r="E40" s="58" t="s">
        <v>385</v>
      </c>
      <c r="F40" s="58" t="s">
        <v>412</v>
      </c>
      <c r="G40" s="58" t="s">
        <v>385</v>
      </c>
      <c r="H40" s="10" t="s">
        <v>387</v>
      </c>
      <c r="I40" s="14" t="s">
        <v>458</v>
      </c>
      <c r="J40" s="128" t="s">
        <v>454</v>
      </c>
      <c r="K40" s="526"/>
      <c r="L40" s="526"/>
      <c r="M40" s="58"/>
      <c r="N40" s="570"/>
      <c r="O40" s="527"/>
      <c r="P40" s="524"/>
      <c r="Q40" s="560"/>
      <c r="R40" s="528"/>
      <c r="S40" s="18"/>
      <c r="T40" s="16"/>
      <c r="U40" s="18"/>
      <c r="V40" s="16"/>
      <c r="W40" s="18"/>
      <c r="X40" s="16"/>
      <c r="Y40" s="18"/>
      <c r="Z40" s="10"/>
      <c r="AA40" s="561"/>
      <c r="AB40" s="562"/>
      <c r="AC40" s="563"/>
      <c r="AD40" s="562"/>
      <c r="AE40" s="563"/>
      <c r="AF40" s="562"/>
      <c r="AG40" s="563"/>
      <c r="AH40" s="562"/>
      <c r="AI40" s="564"/>
      <c r="AJ40" s="565"/>
      <c r="AK40" s="566"/>
      <c r="AL40" s="565"/>
      <c r="AM40" s="565"/>
      <c r="AN40" s="565"/>
      <c r="AO40" s="565"/>
      <c r="AP40" s="565"/>
      <c r="AQ40" s="565"/>
      <c r="AR40" s="492"/>
      <c r="AS40" s="493"/>
      <c r="AT40" s="493"/>
      <c r="AU40" s="493"/>
      <c r="AV40" s="493"/>
      <c r="AW40" s="493"/>
      <c r="AX40" s="493"/>
      <c r="AY40" s="494"/>
      <c r="AZ40" s="96"/>
      <c r="BA40" s="9"/>
      <c r="BB40" s="9"/>
      <c r="BC40" s="126"/>
      <c r="BD40" s="126"/>
      <c r="BE40" s="126"/>
      <c r="BF40" s="129"/>
      <c r="BG40" s="129"/>
      <c r="BH40" s="129"/>
      <c r="BI40" s="129"/>
      <c r="BJ40" s="126"/>
      <c r="BK40" s="125"/>
      <c r="BL40" s="21"/>
      <c r="BM40" s="127"/>
      <c r="BN40" s="511"/>
      <c r="BO40" s="514"/>
      <c r="BP40" s="513"/>
      <c r="BQ40" s="107"/>
      <c r="BR40" s="108"/>
      <c r="BS40" s="488"/>
      <c r="BT40" s="489"/>
      <c r="BU40" s="490"/>
      <c r="BV40" s="491"/>
      <c r="BW40" s="488"/>
      <c r="BX40" s="490"/>
      <c r="BY40" s="490"/>
      <c r="BZ40" s="491"/>
      <c r="CA40" s="257"/>
      <c r="CB40" s="94"/>
      <c r="CC40" s="495"/>
      <c r="CD40" s="94"/>
      <c r="CE40" s="95"/>
      <c r="CF40" s="52"/>
    </row>
    <row r="41" spans="1:84" ht="30" customHeight="1" x14ac:dyDescent="0.3">
      <c r="A41" s="60" t="str">
        <f t="shared" si="0"/>
        <v>Unitil</v>
      </c>
      <c r="B41" s="66" t="s">
        <v>383</v>
      </c>
      <c r="C41" s="66" t="s">
        <v>383</v>
      </c>
      <c r="D41" s="58" t="s">
        <v>404</v>
      </c>
      <c r="E41" s="58" t="s">
        <v>385</v>
      </c>
      <c r="F41" s="58" t="s">
        <v>413</v>
      </c>
      <c r="G41" s="58" t="s">
        <v>385</v>
      </c>
      <c r="H41" s="10" t="s">
        <v>387</v>
      </c>
      <c r="I41" s="14" t="s">
        <v>458</v>
      </c>
      <c r="J41" s="128" t="s">
        <v>460</v>
      </c>
      <c r="K41" s="526"/>
      <c r="L41" s="526"/>
      <c r="M41" s="58"/>
      <c r="N41" s="570"/>
      <c r="O41" s="527"/>
      <c r="P41" s="524"/>
      <c r="Q41" s="560"/>
      <c r="R41" s="528"/>
      <c r="S41" s="18"/>
      <c r="T41" s="16"/>
      <c r="U41" s="18"/>
      <c r="V41" s="16"/>
      <c r="W41" s="18"/>
      <c r="X41" s="16"/>
      <c r="Y41" s="18"/>
      <c r="Z41" s="10"/>
      <c r="AA41" s="561"/>
      <c r="AB41" s="562"/>
      <c r="AC41" s="563"/>
      <c r="AD41" s="562"/>
      <c r="AE41" s="563"/>
      <c r="AF41" s="562"/>
      <c r="AG41" s="563"/>
      <c r="AH41" s="562"/>
      <c r="AI41" s="564"/>
      <c r="AJ41" s="565"/>
      <c r="AK41" s="566"/>
      <c r="AL41" s="565"/>
      <c r="AM41" s="565"/>
      <c r="AN41" s="565"/>
      <c r="AO41" s="565"/>
      <c r="AP41" s="565"/>
      <c r="AQ41" s="565"/>
      <c r="AR41" s="492"/>
      <c r="AS41" s="493"/>
      <c r="AT41" s="493"/>
      <c r="AU41" s="493"/>
      <c r="AV41" s="493"/>
      <c r="AW41" s="493"/>
      <c r="AX41" s="493"/>
      <c r="AY41" s="494"/>
      <c r="AZ41" s="96"/>
      <c r="BA41" s="9"/>
      <c r="BB41" s="9"/>
      <c r="BC41" s="126"/>
      <c r="BD41" s="126"/>
      <c r="BE41" s="126"/>
      <c r="BF41" s="129"/>
      <c r="BG41" s="129"/>
      <c r="BH41" s="129"/>
      <c r="BI41" s="129"/>
      <c r="BJ41" s="126"/>
      <c r="BK41" s="125"/>
      <c r="BL41" s="21"/>
      <c r="BM41" s="127"/>
      <c r="BN41" s="511"/>
      <c r="BO41" s="514"/>
      <c r="BP41" s="513"/>
      <c r="BQ41" s="107"/>
      <c r="BR41" s="108"/>
      <c r="BS41" s="488"/>
      <c r="BT41" s="489"/>
      <c r="BU41" s="490"/>
      <c r="BV41" s="491"/>
      <c r="BW41" s="488"/>
      <c r="BX41" s="490"/>
      <c r="BY41" s="490"/>
      <c r="BZ41" s="491"/>
      <c r="CA41" s="257"/>
      <c r="CB41" s="94"/>
      <c r="CC41" s="495"/>
      <c r="CD41" s="94"/>
      <c r="CE41" s="95"/>
      <c r="CF41" s="52"/>
    </row>
    <row r="42" spans="1:84" ht="30" customHeight="1" thickBot="1" x14ac:dyDescent="0.35">
      <c r="A42" s="60" t="str">
        <f t="shared" si="0"/>
        <v>Unitil</v>
      </c>
      <c r="B42" s="66" t="s">
        <v>383</v>
      </c>
      <c r="C42" s="66" t="s">
        <v>383</v>
      </c>
      <c r="D42" s="58" t="s">
        <v>404</v>
      </c>
      <c r="E42" s="58" t="s">
        <v>385</v>
      </c>
      <c r="F42" s="496"/>
      <c r="G42" s="496"/>
      <c r="H42" s="497"/>
      <c r="I42" s="529"/>
      <c r="J42" s="496"/>
      <c r="K42" s="496"/>
      <c r="L42" s="496"/>
      <c r="M42" s="496"/>
      <c r="N42" s="567"/>
      <c r="O42" s="530"/>
      <c r="P42" s="568"/>
      <c r="Q42" s="510"/>
      <c r="R42" s="531"/>
      <c r="S42" s="569"/>
      <c r="T42" s="569"/>
      <c r="U42" s="569"/>
      <c r="V42" s="569"/>
      <c r="W42" s="569"/>
      <c r="X42" s="569"/>
      <c r="Y42" s="569"/>
      <c r="Z42" s="569"/>
      <c r="AA42" s="569"/>
      <c r="AB42" s="569"/>
      <c r="AC42" s="569"/>
      <c r="AD42" s="569"/>
      <c r="AE42" s="569"/>
      <c r="AF42" s="569"/>
      <c r="AG42" s="569"/>
      <c r="AH42" s="569"/>
      <c r="AI42" s="569"/>
      <c r="AJ42" s="569"/>
      <c r="AK42" s="497"/>
      <c r="AL42" s="569"/>
      <c r="AM42" s="497"/>
      <c r="AN42" s="569"/>
      <c r="AO42" s="497"/>
      <c r="AP42" s="569"/>
      <c r="AQ42" s="497"/>
      <c r="AR42" s="492"/>
      <c r="AS42" s="493"/>
      <c r="AT42" s="493"/>
      <c r="AU42" s="493"/>
      <c r="AV42" s="493"/>
      <c r="AW42" s="493"/>
      <c r="AX42" s="493"/>
      <c r="AY42" s="494"/>
      <c r="AZ42" s="96"/>
      <c r="BA42" s="9"/>
      <c r="BB42" s="9"/>
      <c r="BC42" s="126"/>
      <c r="BD42" s="126"/>
      <c r="BE42" s="126"/>
      <c r="BF42" s="129"/>
      <c r="BG42" s="129"/>
      <c r="BH42" s="129"/>
      <c r="BI42" s="129"/>
      <c r="BJ42" s="126"/>
      <c r="BK42" s="125"/>
      <c r="BL42" s="21"/>
      <c r="BM42" s="127"/>
      <c r="BN42" s="515"/>
      <c r="BO42" s="516"/>
      <c r="BP42" s="517"/>
      <c r="BQ42" s="107"/>
      <c r="BR42" s="108"/>
      <c r="BS42" s="488"/>
      <c r="BT42" s="489"/>
      <c r="BU42" s="490"/>
      <c r="BV42" s="491"/>
      <c r="BW42" s="488"/>
      <c r="BX42" s="490"/>
      <c r="BY42" s="490"/>
      <c r="BZ42" s="491"/>
      <c r="CA42" s="257"/>
      <c r="CB42" s="94"/>
      <c r="CC42" s="495"/>
      <c r="CD42" s="94"/>
      <c r="CE42" s="95"/>
      <c r="CF42" s="52"/>
    </row>
    <row r="43" spans="1:84" ht="30" customHeight="1" thickBot="1" x14ac:dyDescent="0.35">
      <c r="A43" s="60" t="str">
        <f t="shared" si="0"/>
        <v>Unitil</v>
      </c>
      <c r="B43" s="66" t="s">
        <v>383</v>
      </c>
      <c r="C43" s="66" t="s">
        <v>383</v>
      </c>
      <c r="D43" s="58" t="s">
        <v>414</v>
      </c>
      <c r="E43" s="58" t="s">
        <v>385</v>
      </c>
      <c r="F43" s="58" t="s">
        <v>415</v>
      </c>
      <c r="G43" s="58" t="s">
        <v>385</v>
      </c>
      <c r="H43" s="10" t="s">
        <v>387</v>
      </c>
      <c r="I43" s="14" t="s">
        <v>453</v>
      </c>
      <c r="J43" s="128" t="s">
        <v>454</v>
      </c>
      <c r="K43" s="526"/>
      <c r="L43" s="526"/>
      <c r="M43" s="58"/>
      <c r="N43" s="559"/>
      <c r="O43" s="527"/>
      <c r="P43" s="524"/>
      <c r="Q43" s="560"/>
      <c r="R43" s="528"/>
      <c r="S43" s="18"/>
      <c r="T43" s="16"/>
      <c r="U43" s="18"/>
      <c r="V43" s="16"/>
      <c r="W43" s="18"/>
      <c r="X43" s="16"/>
      <c r="Y43" s="18"/>
      <c r="Z43" s="10"/>
      <c r="AA43" s="561"/>
      <c r="AB43" s="562"/>
      <c r="AC43" s="563"/>
      <c r="AD43" s="562"/>
      <c r="AE43" s="563"/>
      <c r="AF43" s="562"/>
      <c r="AG43" s="563"/>
      <c r="AH43" s="562"/>
      <c r="AI43" s="564"/>
      <c r="AJ43" s="565"/>
      <c r="AK43" s="566"/>
      <c r="AL43" s="565"/>
      <c r="AM43" s="565"/>
      <c r="AN43" s="565"/>
      <c r="AO43" s="565"/>
      <c r="AP43" s="565"/>
      <c r="AQ43" s="565"/>
      <c r="AR43" s="492"/>
      <c r="AS43" s="493"/>
      <c r="AT43" s="493"/>
      <c r="AU43" s="493"/>
      <c r="AV43" s="493"/>
      <c r="AW43" s="493"/>
      <c r="AX43" s="493"/>
      <c r="AY43" s="494"/>
      <c r="AZ43" s="96"/>
      <c r="BA43" s="9"/>
      <c r="BB43" s="9"/>
      <c r="BC43" s="126"/>
      <c r="BD43" s="126"/>
      <c r="BE43" s="126"/>
      <c r="BF43" s="129"/>
      <c r="BG43" s="129"/>
      <c r="BH43" s="129"/>
      <c r="BI43" s="129"/>
      <c r="BJ43" s="126"/>
      <c r="BK43" s="125"/>
      <c r="BL43" s="21"/>
      <c r="BM43" s="127"/>
      <c r="BN43" s="511"/>
      <c r="BO43" s="514"/>
      <c r="BP43" s="513"/>
      <c r="BQ43" s="107"/>
      <c r="BR43" s="108"/>
      <c r="BS43" s="488"/>
      <c r="BT43" s="489"/>
      <c r="BU43" s="490"/>
      <c r="BV43" s="491"/>
      <c r="BW43" s="488"/>
      <c r="BX43" s="490"/>
      <c r="BY43" s="490"/>
      <c r="BZ43" s="491"/>
      <c r="CA43" s="257"/>
      <c r="CB43" s="94"/>
      <c r="CC43" s="495"/>
      <c r="CD43" s="94"/>
      <c r="CE43" s="95"/>
      <c r="CF43" s="52"/>
    </row>
    <row r="44" spans="1:84" ht="30" customHeight="1" thickBot="1" x14ac:dyDescent="0.35">
      <c r="A44" s="60" t="str">
        <f t="shared" si="0"/>
        <v>Unitil</v>
      </c>
      <c r="B44" s="66" t="s">
        <v>383</v>
      </c>
      <c r="C44" s="66" t="s">
        <v>383</v>
      </c>
      <c r="D44" s="58" t="s">
        <v>414</v>
      </c>
      <c r="E44" s="58" t="s">
        <v>385</v>
      </c>
      <c r="F44" s="58" t="s">
        <v>416</v>
      </c>
      <c r="G44" s="58" t="s">
        <v>385</v>
      </c>
      <c r="H44" s="10" t="s">
        <v>387</v>
      </c>
      <c r="I44" s="14" t="s">
        <v>453</v>
      </c>
      <c r="J44" s="128" t="s">
        <v>454</v>
      </c>
      <c r="K44" s="526"/>
      <c r="L44" s="526"/>
      <c r="M44" s="58"/>
      <c r="N44" s="559"/>
      <c r="O44" s="527"/>
      <c r="P44" s="524"/>
      <c r="Q44" s="560"/>
      <c r="R44" s="528"/>
      <c r="S44" s="18"/>
      <c r="T44" s="16"/>
      <c r="U44" s="18"/>
      <c r="V44" s="16"/>
      <c r="W44" s="18"/>
      <c r="X44" s="16"/>
      <c r="Y44" s="18"/>
      <c r="Z44" s="10"/>
      <c r="AA44" s="561"/>
      <c r="AB44" s="562"/>
      <c r="AC44" s="563"/>
      <c r="AD44" s="562"/>
      <c r="AE44" s="563"/>
      <c r="AF44" s="562"/>
      <c r="AG44" s="563"/>
      <c r="AH44" s="562"/>
      <c r="AI44" s="564"/>
      <c r="AJ44" s="565"/>
      <c r="AK44" s="566"/>
      <c r="AL44" s="565"/>
      <c r="AM44" s="565"/>
      <c r="AN44" s="565"/>
      <c r="AO44" s="565"/>
      <c r="AP44" s="565"/>
      <c r="AQ44" s="565"/>
      <c r="AR44" s="492"/>
      <c r="AS44" s="493"/>
      <c r="AT44" s="493"/>
      <c r="AU44" s="493"/>
      <c r="AV44" s="493"/>
      <c r="AW44" s="493"/>
      <c r="AX44" s="493"/>
      <c r="AY44" s="494"/>
      <c r="AZ44" s="96"/>
      <c r="BA44" s="9"/>
      <c r="BB44" s="9"/>
      <c r="BC44" s="126"/>
      <c r="BD44" s="126"/>
      <c r="BE44" s="126"/>
      <c r="BF44" s="129"/>
      <c r="BG44" s="129"/>
      <c r="BH44" s="129"/>
      <c r="BI44" s="129"/>
      <c r="BJ44" s="126"/>
      <c r="BK44" s="125"/>
      <c r="BL44" s="21"/>
      <c r="BM44" s="127"/>
      <c r="BN44" s="511"/>
      <c r="BO44" s="514"/>
      <c r="BP44" s="513"/>
      <c r="BQ44" s="107"/>
      <c r="BR44" s="108"/>
      <c r="BS44" s="488"/>
      <c r="BT44" s="489"/>
      <c r="BU44" s="490"/>
      <c r="BV44" s="491"/>
      <c r="BW44" s="488"/>
      <c r="BX44" s="490"/>
      <c r="BY44" s="490"/>
      <c r="BZ44" s="491"/>
      <c r="CA44" s="257"/>
      <c r="CB44" s="94"/>
      <c r="CC44" s="495"/>
      <c r="CD44" s="94"/>
      <c r="CE44" s="95"/>
      <c r="CF44" s="52"/>
    </row>
    <row r="45" spans="1:84" ht="30" customHeight="1" x14ac:dyDescent="0.3">
      <c r="A45" s="60" t="str">
        <f t="shared" si="0"/>
        <v>Unitil</v>
      </c>
      <c r="B45" s="66" t="s">
        <v>383</v>
      </c>
      <c r="C45" s="66" t="s">
        <v>383</v>
      </c>
      <c r="D45" s="58" t="s">
        <v>414</v>
      </c>
      <c r="E45" s="58" t="s">
        <v>385</v>
      </c>
      <c r="F45" s="58" t="s">
        <v>417</v>
      </c>
      <c r="G45" s="58" t="s">
        <v>385</v>
      </c>
      <c r="H45" s="10" t="s">
        <v>387</v>
      </c>
      <c r="I45" s="14" t="s">
        <v>453</v>
      </c>
      <c r="J45" s="128" t="s">
        <v>454</v>
      </c>
      <c r="K45" s="526"/>
      <c r="L45" s="526"/>
      <c r="M45" s="58"/>
      <c r="N45" s="527"/>
      <c r="O45" s="527"/>
      <c r="P45" s="524"/>
      <c r="Q45" s="560"/>
      <c r="R45" s="528"/>
      <c r="S45" s="18"/>
      <c r="T45" s="16"/>
      <c r="U45" s="18"/>
      <c r="V45" s="16"/>
      <c r="W45" s="18"/>
      <c r="X45" s="16"/>
      <c r="Y45" s="18"/>
      <c r="Z45" s="10"/>
      <c r="AA45" s="561"/>
      <c r="AB45" s="562"/>
      <c r="AC45" s="563"/>
      <c r="AD45" s="562"/>
      <c r="AE45" s="563"/>
      <c r="AF45" s="562"/>
      <c r="AG45" s="563"/>
      <c r="AH45" s="562"/>
      <c r="AI45" s="564"/>
      <c r="AJ45" s="565"/>
      <c r="AK45" s="566"/>
      <c r="AL45" s="565"/>
      <c r="AM45" s="565"/>
      <c r="AN45" s="565"/>
      <c r="AO45" s="565"/>
      <c r="AP45" s="565"/>
      <c r="AQ45" s="565"/>
      <c r="AR45" s="492"/>
      <c r="AS45" s="493"/>
      <c r="AT45" s="493"/>
      <c r="AU45" s="493"/>
      <c r="AV45" s="493"/>
      <c r="AW45" s="493"/>
      <c r="AX45" s="493"/>
      <c r="AY45" s="494"/>
      <c r="AZ45" s="96"/>
      <c r="BA45" s="9"/>
      <c r="BB45" s="9"/>
      <c r="BC45" s="126"/>
      <c r="BD45" s="126"/>
      <c r="BE45" s="126"/>
      <c r="BF45" s="129"/>
      <c r="BG45" s="129"/>
      <c r="BH45" s="129"/>
      <c r="BI45" s="129"/>
      <c r="BJ45" s="126"/>
      <c r="BK45" s="125"/>
      <c r="BL45" s="21"/>
      <c r="BM45" s="127"/>
      <c r="BN45" s="511"/>
      <c r="BO45" s="514"/>
      <c r="BP45" s="513"/>
      <c r="BQ45" s="107"/>
      <c r="BR45" s="108"/>
      <c r="BS45" s="488"/>
      <c r="BT45" s="489"/>
      <c r="BU45" s="490"/>
      <c r="BV45" s="491"/>
      <c r="BW45" s="488"/>
      <c r="BX45" s="490"/>
      <c r="BY45" s="490"/>
      <c r="BZ45" s="491"/>
      <c r="CA45" s="257"/>
      <c r="CB45" s="94"/>
      <c r="CC45" s="495"/>
      <c r="CD45" s="94"/>
      <c r="CE45" s="95"/>
      <c r="CF45" s="52"/>
    </row>
    <row r="46" spans="1:84" ht="30" customHeight="1" thickBot="1" x14ac:dyDescent="0.35">
      <c r="A46" s="60" t="str">
        <f t="shared" si="0"/>
        <v>Unitil</v>
      </c>
      <c r="B46" s="66" t="s">
        <v>383</v>
      </c>
      <c r="C46" s="66" t="s">
        <v>383</v>
      </c>
      <c r="D46" s="58" t="s">
        <v>414</v>
      </c>
      <c r="E46" s="58" t="s">
        <v>385</v>
      </c>
      <c r="F46" s="496"/>
      <c r="G46" s="496"/>
      <c r="H46" s="497"/>
      <c r="I46" s="529"/>
      <c r="J46" s="496"/>
      <c r="K46" s="496"/>
      <c r="L46" s="496"/>
      <c r="M46" s="496"/>
      <c r="N46" s="567"/>
      <c r="O46" s="530"/>
      <c r="P46" s="568"/>
      <c r="Q46" s="510"/>
      <c r="R46" s="531"/>
      <c r="S46" s="569"/>
      <c r="T46" s="569"/>
      <c r="U46" s="569"/>
      <c r="V46" s="569"/>
      <c r="W46" s="569"/>
      <c r="X46" s="569"/>
      <c r="Y46" s="569"/>
      <c r="Z46" s="569"/>
      <c r="AA46" s="569"/>
      <c r="AB46" s="569"/>
      <c r="AC46" s="569"/>
      <c r="AD46" s="569"/>
      <c r="AE46" s="569"/>
      <c r="AF46" s="569"/>
      <c r="AG46" s="569"/>
      <c r="AH46" s="569"/>
      <c r="AI46" s="569"/>
      <c r="AJ46" s="569"/>
      <c r="AK46" s="497"/>
      <c r="AL46" s="569"/>
      <c r="AM46" s="497"/>
      <c r="AN46" s="569"/>
      <c r="AO46" s="497"/>
      <c r="AP46" s="569"/>
      <c r="AQ46" s="497"/>
      <c r="AR46" s="492"/>
      <c r="AS46" s="493"/>
      <c r="AT46" s="493"/>
      <c r="AU46" s="493"/>
      <c r="AV46" s="493"/>
      <c r="AW46" s="493"/>
      <c r="AX46" s="493"/>
      <c r="AY46" s="494"/>
      <c r="AZ46" s="96"/>
      <c r="BA46" s="9"/>
      <c r="BB46" s="9"/>
      <c r="BC46" s="126"/>
      <c r="BD46" s="126"/>
      <c r="BE46" s="126"/>
      <c r="BF46" s="129"/>
      <c r="BG46" s="129"/>
      <c r="BH46" s="129"/>
      <c r="BI46" s="129"/>
      <c r="BJ46" s="126"/>
      <c r="BK46" s="125"/>
      <c r="BL46" s="21"/>
      <c r="BM46" s="127"/>
      <c r="BN46" s="515"/>
      <c r="BO46" s="516"/>
      <c r="BP46" s="517"/>
      <c r="BQ46" s="107"/>
      <c r="BR46" s="108"/>
      <c r="BS46" s="488"/>
      <c r="BT46" s="489"/>
      <c r="BU46" s="490"/>
      <c r="BV46" s="491"/>
      <c r="BW46" s="488"/>
      <c r="BX46" s="490"/>
      <c r="BY46" s="490"/>
      <c r="BZ46" s="491"/>
      <c r="CA46" s="257"/>
      <c r="CB46" s="94"/>
      <c r="CC46" s="495"/>
      <c r="CD46" s="94"/>
      <c r="CE46" s="95"/>
      <c r="CF46" s="52"/>
    </row>
    <row r="47" spans="1:84" ht="30" customHeight="1" thickBot="1" x14ac:dyDescent="0.35">
      <c r="A47" s="60" t="str">
        <f t="shared" si="0"/>
        <v>Unitil</v>
      </c>
      <c r="B47" s="66" t="s">
        <v>383</v>
      </c>
      <c r="C47" s="66" t="s">
        <v>383</v>
      </c>
      <c r="D47" s="58" t="s">
        <v>418</v>
      </c>
      <c r="E47" s="58" t="s">
        <v>418</v>
      </c>
      <c r="F47" s="58" t="s">
        <v>419</v>
      </c>
      <c r="G47" s="58" t="s">
        <v>418</v>
      </c>
      <c r="H47" s="10" t="s">
        <v>387</v>
      </c>
      <c r="I47" s="14" t="s">
        <v>453</v>
      </c>
      <c r="J47" s="128" t="s">
        <v>454</v>
      </c>
      <c r="K47" s="526"/>
      <c r="L47" s="526"/>
      <c r="M47" s="58"/>
      <c r="N47" s="559"/>
      <c r="O47" s="527"/>
      <c r="P47" s="524"/>
      <c r="Q47" s="560"/>
      <c r="R47" s="528"/>
      <c r="S47" s="18"/>
      <c r="T47" s="16"/>
      <c r="U47" s="18"/>
      <c r="V47" s="16"/>
      <c r="W47" s="18"/>
      <c r="X47" s="16"/>
      <c r="Y47" s="18"/>
      <c r="Z47" s="10"/>
      <c r="AA47" s="561"/>
      <c r="AB47" s="562"/>
      <c r="AC47" s="563"/>
      <c r="AD47" s="562"/>
      <c r="AE47" s="563"/>
      <c r="AF47" s="562"/>
      <c r="AG47" s="563"/>
      <c r="AH47" s="562"/>
      <c r="AI47" s="564"/>
      <c r="AJ47" s="565"/>
      <c r="AK47" s="566"/>
      <c r="AL47" s="565"/>
      <c r="AM47" s="565"/>
      <c r="AN47" s="565"/>
      <c r="AO47" s="565"/>
      <c r="AP47" s="565"/>
      <c r="AQ47" s="565"/>
      <c r="AR47" s="492"/>
      <c r="AS47" s="493"/>
      <c r="AT47" s="493"/>
      <c r="AU47" s="493"/>
      <c r="AV47" s="493"/>
      <c r="AW47" s="493"/>
      <c r="AX47" s="493"/>
      <c r="AY47" s="494"/>
      <c r="AZ47" s="96"/>
      <c r="BA47" s="9"/>
      <c r="BB47" s="9"/>
      <c r="BC47" s="126"/>
      <c r="BD47" s="126"/>
      <c r="BE47" s="126"/>
      <c r="BF47" s="129"/>
      <c r="BG47" s="129"/>
      <c r="BH47" s="129"/>
      <c r="BI47" s="129"/>
      <c r="BJ47" s="126"/>
      <c r="BK47" s="125"/>
      <c r="BL47" s="21"/>
      <c r="BM47" s="127"/>
      <c r="BN47" s="511"/>
      <c r="BO47" s="514"/>
      <c r="BP47" s="513"/>
      <c r="BQ47" s="107"/>
      <c r="BR47" s="108"/>
      <c r="BS47" s="488"/>
      <c r="BT47" s="489"/>
      <c r="BU47" s="490"/>
      <c r="BV47" s="491"/>
      <c r="BW47" s="488"/>
      <c r="BX47" s="490"/>
      <c r="BY47" s="490"/>
      <c r="BZ47" s="491"/>
      <c r="CA47" s="257"/>
      <c r="CB47" s="94"/>
      <c r="CC47" s="495"/>
      <c r="CD47" s="94"/>
      <c r="CE47" s="95"/>
      <c r="CF47" s="52"/>
    </row>
    <row r="48" spans="1:84" ht="30" customHeight="1" x14ac:dyDescent="0.3">
      <c r="A48" s="60" t="str">
        <f t="shared" si="0"/>
        <v>Unitil</v>
      </c>
      <c r="B48" s="66" t="s">
        <v>383</v>
      </c>
      <c r="C48" s="66" t="s">
        <v>383</v>
      </c>
      <c r="D48" s="58" t="s">
        <v>418</v>
      </c>
      <c r="E48" s="58" t="s">
        <v>418</v>
      </c>
      <c r="F48" s="58" t="s">
        <v>420</v>
      </c>
      <c r="G48" s="58" t="s">
        <v>421</v>
      </c>
      <c r="H48" s="10" t="s">
        <v>387</v>
      </c>
      <c r="I48" s="14" t="s">
        <v>453</v>
      </c>
      <c r="J48" s="128" t="s">
        <v>454</v>
      </c>
      <c r="K48" s="526"/>
      <c r="L48" s="526"/>
      <c r="M48" s="58"/>
      <c r="N48" s="559"/>
      <c r="O48" s="527"/>
      <c r="P48" s="524"/>
      <c r="Q48" s="560"/>
      <c r="R48" s="528"/>
      <c r="S48" s="18"/>
      <c r="T48" s="16"/>
      <c r="U48" s="18"/>
      <c r="V48" s="16"/>
      <c r="W48" s="18"/>
      <c r="X48" s="16"/>
      <c r="Y48" s="18"/>
      <c r="Z48" s="10"/>
      <c r="AA48" s="561"/>
      <c r="AB48" s="562"/>
      <c r="AC48" s="563"/>
      <c r="AD48" s="562"/>
      <c r="AE48" s="563"/>
      <c r="AF48" s="562"/>
      <c r="AG48" s="563"/>
      <c r="AH48" s="562"/>
      <c r="AI48" s="564"/>
      <c r="AJ48" s="565"/>
      <c r="AK48" s="566"/>
      <c r="AL48" s="565"/>
      <c r="AM48" s="565"/>
      <c r="AN48" s="565"/>
      <c r="AO48" s="565"/>
      <c r="AP48" s="565"/>
      <c r="AQ48" s="565"/>
      <c r="AR48" s="492"/>
      <c r="AS48" s="493"/>
      <c r="AT48" s="493"/>
      <c r="AU48" s="493"/>
      <c r="AV48" s="493"/>
      <c r="AW48" s="493"/>
      <c r="AX48" s="493"/>
      <c r="AY48" s="494"/>
      <c r="AZ48" s="96"/>
      <c r="BA48" s="9"/>
      <c r="BB48" s="9"/>
      <c r="BC48" s="126"/>
      <c r="BD48" s="126"/>
      <c r="BE48" s="126"/>
      <c r="BF48" s="129"/>
      <c r="BG48" s="129"/>
      <c r="BH48" s="129"/>
      <c r="BI48" s="129"/>
      <c r="BJ48" s="126"/>
      <c r="BK48" s="125"/>
      <c r="BL48" s="21"/>
      <c r="BM48" s="127"/>
      <c r="BN48" s="511"/>
      <c r="BO48" s="514"/>
      <c r="BP48" s="513"/>
      <c r="BQ48" s="107"/>
      <c r="BR48" s="108"/>
      <c r="BS48" s="488"/>
      <c r="BT48" s="489"/>
      <c r="BU48" s="490"/>
      <c r="BV48" s="491"/>
      <c r="BW48" s="488"/>
      <c r="BX48" s="490"/>
      <c r="BY48" s="490"/>
      <c r="BZ48" s="491"/>
      <c r="CA48" s="257"/>
      <c r="CB48" s="94"/>
      <c r="CC48" s="495"/>
      <c r="CD48" s="94"/>
      <c r="CE48" s="95"/>
      <c r="CF48" s="52"/>
    </row>
    <row r="49" spans="1:84" ht="30" customHeight="1" thickBot="1" x14ac:dyDescent="0.35">
      <c r="A49" s="60" t="str">
        <f t="shared" si="0"/>
        <v>Unitil</v>
      </c>
      <c r="B49" s="66" t="s">
        <v>383</v>
      </c>
      <c r="C49" s="66" t="s">
        <v>383</v>
      </c>
      <c r="D49" s="58" t="s">
        <v>418</v>
      </c>
      <c r="E49" s="58" t="s">
        <v>418</v>
      </c>
      <c r="F49" s="496"/>
      <c r="G49" s="496"/>
      <c r="H49" s="497"/>
      <c r="I49" s="529"/>
      <c r="J49" s="496"/>
      <c r="K49" s="496"/>
      <c r="L49" s="496"/>
      <c r="M49" s="496"/>
      <c r="N49" s="567"/>
      <c r="O49" s="530"/>
      <c r="P49" s="568"/>
      <c r="Q49" s="510"/>
      <c r="R49" s="531"/>
      <c r="S49" s="569"/>
      <c r="T49" s="569"/>
      <c r="U49" s="569"/>
      <c r="V49" s="569"/>
      <c r="W49" s="569"/>
      <c r="X49" s="569"/>
      <c r="Y49" s="569"/>
      <c r="Z49" s="569"/>
      <c r="AA49" s="569"/>
      <c r="AB49" s="569"/>
      <c r="AC49" s="569"/>
      <c r="AD49" s="569"/>
      <c r="AE49" s="569"/>
      <c r="AF49" s="569"/>
      <c r="AG49" s="569"/>
      <c r="AH49" s="569"/>
      <c r="AI49" s="569"/>
      <c r="AJ49" s="569"/>
      <c r="AK49" s="497"/>
      <c r="AL49" s="569"/>
      <c r="AM49" s="497"/>
      <c r="AN49" s="569"/>
      <c r="AO49" s="497"/>
      <c r="AP49" s="569"/>
      <c r="AQ49" s="497"/>
      <c r="AR49" s="492"/>
      <c r="AS49" s="493"/>
      <c r="AT49" s="493"/>
      <c r="AU49" s="493"/>
      <c r="AV49" s="493"/>
      <c r="AW49" s="493"/>
      <c r="AX49" s="493"/>
      <c r="AY49" s="494"/>
      <c r="AZ49" s="96"/>
      <c r="BA49" s="9"/>
      <c r="BB49" s="9"/>
      <c r="BC49" s="126"/>
      <c r="BD49" s="126"/>
      <c r="BE49" s="126"/>
      <c r="BF49" s="129"/>
      <c r="BG49" s="129"/>
      <c r="BH49" s="129"/>
      <c r="BI49" s="129"/>
      <c r="BJ49" s="126"/>
      <c r="BK49" s="125"/>
      <c r="BL49" s="21"/>
      <c r="BM49" s="127"/>
      <c r="BN49" s="515"/>
      <c r="BO49" s="516"/>
      <c r="BP49" s="517"/>
      <c r="BQ49" s="107"/>
      <c r="BR49" s="108"/>
      <c r="BS49" s="488"/>
      <c r="BT49" s="489"/>
      <c r="BU49" s="490"/>
      <c r="BV49" s="491"/>
      <c r="BW49" s="488"/>
      <c r="BX49" s="490"/>
      <c r="BY49" s="490"/>
      <c r="BZ49" s="491"/>
      <c r="CA49" s="257"/>
      <c r="CB49" s="94"/>
      <c r="CC49" s="495"/>
      <c r="CD49" s="94"/>
      <c r="CE49" s="95"/>
      <c r="CF49" s="52"/>
    </row>
    <row r="50" spans="1:84" ht="30" customHeight="1" thickBot="1" x14ac:dyDescent="0.35">
      <c r="A50" s="60" t="str">
        <f t="shared" si="0"/>
        <v>Unitil</v>
      </c>
      <c r="B50" s="66" t="s">
        <v>383</v>
      </c>
      <c r="C50" s="66" t="s">
        <v>383</v>
      </c>
      <c r="D50" s="58" t="s">
        <v>422</v>
      </c>
      <c r="E50" s="58" t="s">
        <v>418</v>
      </c>
      <c r="F50" s="58" t="s">
        <v>423</v>
      </c>
      <c r="G50" s="58" t="s">
        <v>424</v>
      </c>
      <c r="H50" s="10" t="s">
        <v>387</v>
      </c>
      <c r="I50" s="14" t="s">
        <v>453</v>
      </c>
      <c r="J50" s="128" t="s">
        <v>454</v>
      </c>
      <c r="K50" s="526"/>
      <c r="L50" s="526"/>
      <c r="M50" s="58"/>
      <c r="N50" s="559"/>
      <c r="O50" s="527"/>
      <c r="P50" s="524"/>
      <c r="Q50" s="560"/>
      <c r="R50" s="528"/>
      <c r="S50" s="18"/>
      <c r="T50" s="16"/>
      <c r="U50" s="18"/>
      <c r="V50" s="16"/>
      <c r="W50" s="18"/>
      <c r="X50" s="16"/>
      <c r="Y50" s="18"/>
      <c r="Z50" s="10"/>
      <c r="AA50" s="561"/>
      <c r="AB50" s="562"/>
      <c r="AC50" s="563"/>
      <c r="AD50" s="562"/>
      <c r="AE50" s="563"/>
      <c r="AF50" s="562"/>
      <c r="AG50" s="563"/>
      <c r="AH50" s="562"/>
      <c r="AI50" s="564"/>
      <c r="AJ50" s="565"/>
      <c r="AK50" s="566"/>
      <c r="AL50" s="565"/>
      <c r="AM50" s="565"/>
      <c r="AN50" s="565"/>
      <c r="AO50" s="565"/>
      <c r="AP50" s="565"/>
      <c r="AQ50" s="565"/>
      <c r="AR50" s="492"/>
      <c r="AS50" s="493"/>
      <c r="AT50" s="493"/>
      <c r="AU50" s="493"/>
      <c r="AV50" s="493"/>
      <c r="AW50" s="493"/>
      <c r="AX50" s="493"/>
      <c r="AY50" s="494"/>
      <c r="AZ50" s="96"/>
      <c r="BA50" s="9"/>
      <c r="BB50" s="9"/>
      <c r="BC50" s="126"/>
      <c r="BD50" s="126"/>
      <c r="BE50" s="126"/>
      <c r="BF50" s="129"/>
      <c r="BG50" s="129"/>
      <c r="BH50" s="129"/>
      <c r="BI50" s="129"/>
      <c r="BJ50" s="126"/>
      <c r="BK50" s="125"/>
      <c r="BL50" s="21"/>
      <c r="BM50" s="127"/>
      <c r="BN50" s="511"/>
      <c r="BO50" s="514"/>
      <c r="BP50" s="513"/>
      <c r="BQ50" s="107"/>
      <c r="BR50" s="108"/>
      <c r="BS50" s="488"/>
      <c r="BT50" s="489"/>
      <c r="BU50" s="490"/>
      <c r="BV50" s="491"/>
      <c r="BW50" s="488"/>
      <c r="BX50" s="490"/>
      <c r="BY50" s="490"/>
      <c r="BZ50" s="491"/>
      <c r="CA50" s="257"/>
      <c r="CB50" s="94"/>
      <c r="CC50" s="495"/>
      <c r="CD50" s="94"/>
      <c r="CE50" s="95"/>
      <c r="CF50" s="52"/>
    </row>
    <row r="51" spans="1:84" ht="30" customHeight="1" thickBot="1" x14ac:dyDescent="0.35">
      <c r="A51" s="60" t="str">
        <f t="shared" si="0"/>
        <v>Unitil</v>
      </c>
      <c r="B51" s="66" t="s">
        <v>383</v>
      </c>
      <c r="C51" s="66" t="s">
        <v>383</v>
      </c>
      <c r="D51" s="58" t="s">
        <v>422</v>
      </c>
      <c r="E51" s="58" t="s">
        <v>418</v>
      </c>
      <c r="F51" s="58" t="s">
        <v>425</v>
      </c>
      <c r="G51" s="58" t="s">
        <v>424</v>
      </c>
      <c r="H51" s="10" t="s">
        <v>387</v>
      </c>
      <c r="I51" s="14" t="s">
        <v>453</v>
      </c>
      <c r="J51" s="128" t="s">
        <v>454</v>
      </c>
      <c r="K51" s="526"/>
      <c r="L51" s="526"/>
      <c r="M51" s="58"/>
      <c r="N51" s="559"/>
      <c r="O51" s="527"/>
      <c r="P51" s="524"/>
      <c r="Q51" s="560"/>
      <c r="R51" s="528"/>
      <c r="S51" s="18"/>
      <c r="T51" s="16"/>
      <c r="U51" s="18"/>
      <c r="V51" s="16"/>
      <c r="W51" s="18"/>
      <c r="X51" s="16"/>
      <c r="Y51" s="18"/>
      <c r="Z51" s="10"/>
      <c r="AA51" s="561"/>
      <c r="AB51" s="562"/>
      <c r="AC51" s="563"/>
      <c r="AD51" s="562"/>
      <c r="AE51" s="563"/>
      <c r="AF51" s="562"/>
      <c r="AG51" s="563"/>
      <c r="AH51" s="562"/>
      <c r="AI51" s="564"/>
      <c r="AJ51" s="565"/>
      <c r="AK51" s="566"/>
      <c r="AL51" s="565"/>
      <c r="AM51" s="565"/>
      <c r="AN51" s="565"/>
      <c r="AO51" s="565"/>
      <c r="AP51" s="565"/>
      <c r="AQ51" s="565"/>
      <c r="AR51" s="492"/>
      <c r="AS51" s="493"/>
      <c r="AT51" s="493"/>
      <c r="AU51" s="493"/>
      <c r="AV51" s="493"/>
      <c r="AW51" s="493"/>
      <c r="AX51" s="493"/>
      <c r="AY51" s="494"/>
      <c r="AZ51" s="96"/>
      <c r="BA51" s="9"/>
      <c r="BB51" s="9"/>
      <c r="BC51" s="126"/>
      <c r="BD51" s="126"/>
      <c r="BE51" s="126"/>
      <c r="BF51" s="129"/>
      <c r="BG51" s="129"/>
      <c r="BH51" s="129"/>
      <c r="BI51" s="129"/>
      <c r="BJ51" s="126"/>
      <c r="BK51" s="125"/>
      <c r="BL51" s="21"/>
      <c r="BM51" s="127"/>
      <c r="BN51" s="511"/>
      <c r="BO51" s="514"/>
      <c r="BP51" s="513"/>
      <c r="BQ51" s="107"/>
      <c r="BR51" s="108"/>
      <c r="BS51" s="488"/>
      <c r="BT51" s="489"/>
      <c r="BU51" s="490"/>
      <c r="BV51" s="491"/>
      <c r="BW51" s="488"/>
      <c r="BX51" s="490"/>
      <c r="BY51" s="490"/>
      <c r="BZ51" s="491"/>
      <c r="CA51" s="257"/>
      <c r="CB51" s="94"/>
      <c r="CC51" s="495"/>
      <c r="CD51" s="94"/>
      <c r="CE51" s="95"/>
      <c r="CF51" s="52"/>
    </row>
    <row r="52" spans="1:84" ht="30" customHeight="1" x14ac:dyDescent="0.3">
      <c r="A52" s="60" t="str">
        <f t="shared" si="0"/>
        <v>Unitil</v>
      </c>
      <c r="B52" s="66" t="s">
        <v>383</v>
      </c>
      <c r="C52" s="66" t="s">
        <v>383</v>
      </c>
      <c r="D52" s="58" t="s">
        <v>422</v>
      </c>
      <c r="E52" s="58" t="s">
        <v>418</v>
      </c>
      <c r="F52" s="58" t="s">
        <v>426</v>
      </c>
      <c r="G52" s="58" t="s">
        <v>418</v>
      </c>
      <c r="H52" s="10" t="s">
        <v>387</v>
      </c>
      <c r="I52" s="14" t="s">
        <v>453</v>
      </c>
      <c r="J52" s="128" t="s">
        <v>454</v>
      </c>
      <c r="K52" s="526"/>
      <c r="L52" s="526"/>
      <c r="M52" s="58"/>
      <c r="N52" s="559"/>
      <c r="O52" s="527"/>
      <c r="P52" s="524"/>
      <c r="Q52" s="560"/>
      <c r="R52" s="528"/>
      <c r="S52" s="18"/>
      <c r="T52" s="16"/>
      <c r="U52" s="18"/>
      <c r="V52" s="16"/>
      <c r="W52" s="18"/>
      <c r="X52" s="16"/>
      <c r="Y52" s="18"/>
      <c r="Z52" s="10"/>
      <c r="AA52" s="561"/>
      <c r="AB52" s="562"/>
      <c r="AC52" s="563"/>
      <c r="AD52" s="562"/>
      <c r="AE52" s="563"/>
      <c r="AF52" s="562"/>
      <c r="AG52" s="563"/>
      <c r="AH52" s="562"/>
      <c r="AI52" s="564"/>
      <c r="AJ52" s="565"/>
      <c r="AK52" s="566"/>
      <c r="AL52" s="565"/>
      <c r="AM52" s="565"/>
      <c r="AN52" s="565"/>
      <c r="AO52" s="565"/>
      <c r="AP52" s="565"/>
      <c r="AQ52" s="565"/>
      <c r="AR52" s="492"/>
      <c r="AS52" s="493"/>
      <c r="AT52" s="493"/>
      <c r="AU52" s="493"/>
      <c r="AV52" s="493"/>
      <c r="AW52" s="493"/>
      <c r="AX52" s="493"/>
      <c r="AY52" s="494"/>
      <c r="AZ52" s="96"/>
      <c r="BA52" s="9"/>
      <c r="BB52" s="9"/>
      <c r="BC52" s="126"/>
      <c r="BD52" s="126"/>
      <c r="BE52" s="126"/>
      <c r="BF52" s="129"/>
      <c r="BG52" s="129"/>
      <c r="BH52" s="129"/>
      <c r="BI52" s="129"/>
      <c r="BJ52" s="126"/>
      <c r="BK52" s="125"/>
      <c r="BL52" s="21"/>
      <c r="BM52" s="127"/>
      <c r="BN52" s="511"/>
      <c r="BO52" s="514"/>
      <c r="BP52" s="513"/>
      <c r="BQ52" s="107"/>
      <c r="BR52" s="108"/>
      <c r="BS52" s="488"/>
      <c r="BT52" s="489"/>
      <c r="BU52" s="490"/>
      <c r="BV52" s="491"/>
      <c r="BW52" s="488"/>
      <c r="BX52" s="490"/>
      <c r="BY52" s="490"/>
      <c r="BZ52" s="491"/>
      <c r="CA52" s="257"/>
      <c r="CB52" s="94"/>
      <c r="CC52" s="495"/>
      <c r="CD52" s="94"/>
      <c r="CE52" s="95"/>
      <c r="CF52" s="52"/>
    </row>
    <row r="53" spans="1:84" ht="30" customHeight="1" thickBot="1" x14ac:dyDescent="0.35">
      <c r="A53" s="60" t="str">
        <f t="shared" si="0"/>
        <v>Unitil</v>
      </c>
      <c r="B53" s="66" t="s">
        <v>383</v>
      </c>
      <c r="C53" s="66" t="s">
        <v>383</v>
      </c>
      <c r="D53" s="58" t="s">
        <v>422</v>
      </c>
      <c r="E53" s="58" t="s">
        <v>418</v>
      </c>
      <c r="F53" s="496"/>
      <c r="G53" s="496"/>
      <c r="H53" s="497"/>
      <c r="I53" s="529"/>
      <c r="J53" s="496"/>
      <c r="K53" s="496"/>
      <c r="L53" s="496"/>
      <c r="M53" s="496"/>
      <c r="N53" s="567"/>
      <c r="O53" s="530"/>
      <c r="P53" s="568"/>
      <c r="Q53" s="510"/>
      <c r="R53" s="531"/>
      <c r="S53" s="569"/>
      <c r="T53" s="569"/>
      <c r="U53" s="569"/>
      <c r="V53" s="569"/>
      <c r="W53" s="569"/>
      <c r="X53" s="569"/>
      <c r="Y53" s="569"/>
      <c r="Z53" s="569"/>
      <c r="AA53" s="569"/>
      <c r="AB53" s="569"/>
      <c r="AC53" s="569"/>
      <c r="AD53" s="569"/>
      <c r="AE53" s="569"/>
      <c r="AF53" s="569"/>
      <c r="AG53" s="569"/>
      <c r="AH53" s="569"/>
      <c r="AI53" s="569"/>
      <c r="AJ53" s="569"/>
      <c r="AK53" s="497"/>
      <c r="AL53" s="569"/>
      <c r="AM53" s="497"/>
      <c r="AN53" s="569"/>
      <c r="AO53" s="497"/>
      <c r="AP53" s="569"/>
      <c r="AQ53" s="497"/>
      <c r="AR53" s="492"/>
      <c r="AS53" s="493"/>
      <c r="AT53" s="493"/>
      <c r="AU53" s="493"/>
      <c r="AV53" s="493"/>
      <c r="AW53" s="493"/>
      <c r="AX53" s="493"/>
      <c r="AY53" s="494"/>
      <c r="AZ53" s="96"/>
      <c r="BA53" s="9"/>
      <c r="BB53" s="9"/>
      <c r="BC53" s="126"/>
      <c r="BD53" s="126"/>
      <c r="BE53" s="126"/>
      <c r="BF53" s="129"/>
      <c r="BG53" s="129"/>
      <c r="BH53" s="129"/>
      <c r="BI53" s="129"/>
      <c r="BJ53" s="126"/>
      <c r="BK53" s="125"/>
      <c r="BL53" s="21"/>
      <c r="BM53" s="127"/>
      <c r="BN53" s="515"/>
      <c r="BO53" s="516"/>
      <c r="BP53" s="517"/>
      <c r="BQ53" s="107"/>
      <c r="BR53" s="108"/>
      <c r="BS53" s="488"/>
      <c r="BT53" s="489"/>
      <c r="BU53" s="490"/>
      <c r="BV53" s="491"/>
      <c r="BW53" s="488"/>
      <c r="BX53" s="490"/>
      <c r="BY53" s="490"/>
      <c r="BZ53" s="491"/>
      <c r="CA53" s="257"/>
      <c r="CB53" s="94"/>
      <c r="CC53" s="495"/>
      <c r="CD53" s="94"/>
      <c r="CE53" s="95"/>
      <c r="CF53" s="52"/>
    </row>
    <row r="54" spans="1:84" ht="30" customHeight="1" x14ac:dyDescent="0.3">
      <c r="A54" s="60" t="str">
        <f t="shared" si="0"/>
        <v>Unitil</v>
      </c>
      <c r="B54" s="66" t="s">
        <v>383</v>
      </c>
      <c r="C54" s="66" t="s">
        <v>383</v>
      </c>
      <c r="D54" s="58" t="s">
        <v>427</v>
      </c>
      <c r="E54" s="58" t="s">
        <v>385</v>
      </c>
      <c r="F54" s="58" t="s">
        <v>428</v>
      </c>
      <c r="G54" s="58" t="s">
        <v>429</v>
      </c>
      <c r="H54" s="10" t="s">
        <v>387</v>
      </c>
      <c r="I54" s="14" t="s">
        <v>453</v>
      </c>
      <c r="J54" s="128" t="s">
        <v>454</v>
      </c>
      <c r="K54" s="526"/>
      <c r="L54" s="526"/>
      <c r="M54" s="58"/>
      <c r="N54" s="559"/>
      <c r="O54" s="527"/>
      <c r="P54" s="524"/>
      <c r="Q54" s="560"/>
      <c r="R54" s="528"/>
      <c r="S54" s="18"/>
      <c r="T54" s="16"/>
      <c r="U54" s="18"/>
      <c r="V54" s="16"/>
      <c r="W54" s="18"/>
      <c r="X54" s="16"/>
      <c r="Y54" s="18"/>
      <c r="Z54" s="10"/>
      <c r="AA54" s="561"/>
      <c r="AB54" s="562"/>
      <c r="AC54" s="563"/>
      <c r="AD54" s="562"/>
      <c r="AE54" s="563"/>
      <c r="AF54" s="562"/>
      <c r="AG54" s="563"/>
      <c r="AH54" s="562"/>
      <c r="AI54" s="564"/>
      <c r="AJ54" s="565"/>
      <c r="AK54" s="566"/>
      <c r="AL54" s="565"/>
      <c r="AM54" s="565"/>
      <c r="AN54" s="565"/>
      <c r="AO54" s="565"/>
      <c r="AP54" s="565"/>
      <c r="AQ54" s="565"/>
      <c r="AR54" s="492"/>
      <c r="AS54" s="493"/>
      <c r="AT54" s="493"/>
      <c r="AU54" s="493"/>
      <c r="AV54" s="493"/>
      <c r="AW54" s="493"/>
      <c r="AX54" s="493"/>
      <c r="AY54" s="494"/>
      <c r="AZ54" s="96"/>
      <c r="BA54" s="9"/>
      <c r="BB54" s="9"/>
      <c r="BC54" s="126"/>
      <c r="BD54" s="126"/>
      <c r="BE54" s="126"/>
      <c r="BF54" s="129"/>
      <c r="BG54" s="129"/>
      <c r="BH54" s="129"/>
      <c r="BI54" s="129"/>
      <c r="BJ54" s="126"/>
      <c r="BK54" s="125"/>
      <c r="BL54" s="21"/>
      <c r="BM54" s="127"/>
      <c r="BN54" s="511"/>
      <c r="BO54" s="514"/>
      <c r="BP54" s="513"/>
      <c r="BQ54" s="107"/>
      <c r="BR54" s="108"/>
      <c r="BS54" s="488"/>
      <c r="BT54" s="489"/>
      <c r="BU54" s="490"/>
      <c r="BV54" s="491"/>
      <c r="BW54" s="488"/>
      <c r="BX54" s="490"/>
      <c r="BY54" s="490"/>
      <c r="BZ54" s="491"/>
      <c r="CA54" s="257"/>
      <c r="CB54" s="94"/>
      <c r="CC54" s="495"/>
      <c r="CD54" s="94"/>
      <c r="CE54" s="95"/>
      <c r="CF54" s="52"/>
    </row>
    <row r="55" spans="1:84" ht="30" customHeight="1" thickBot="1" x14ac:dyDescent="0.35">
      <c r="A55" s="60" t="str">
        <f t="shared" si="0"/>
        <v>Unitil</v>
      </c>
      <c r="B55" s="66" t="s">
        <v>383</v>
      </c>
      <c r="C55" s="66" t="s">
        <v>383</v>
      </c>
      <c r="D55" s="58" t="s">
        <v>427</v>
      </c>
      <c r="E55" s="58" t="s">
        <v>385</v>
      </c>
      <c r="F55" s="496"/>
      <c r="G55" s="496"/>
      <c r="H55" s="497"/>
      <c r="I55" s="529"/>
      <c r="J55" s="496"/>
      <c r="K55" s="496"/>
      <c r="L55" s="496"/>
      <c r="M55" s="496"/>
      <c r="N55" s="567"/>
      <c r="O55" s="530"/>
      <c r="P55" s="568"/>
      <c r="Q55" s="510"/>
      <c r="R55" s="531"/>
      <c r="S55" s="569"/>
      <c r="T55" s="569"/>
      <c r="U55" s="569"/>
      <c r="V55" s="569"/>
      <c r="W55" s="569"/>
      <c r="X55" s="569"/>
      <c r="Y55" s="569"/>
      <c r="Z55" s="569"/>
      <c r="AA55" s="569"/>
      <c r="AB55" s="569"/>
      <c r="AC55" s="569"/>
      <c r="AD55" s="569"/>
      <c r="AE55" s="569"/>
      <c r="AF55" s="569"/>
      <c r="AG55" s="569"/>
      <c r="AH55" s="569"/>
      <c r="AI55" s="569"/>
      <c r="AJ55" s="569"/>
      <c r="AK55" s="497"/>
      <c r="AL55" s="569"/>
      <c r="AM55" s="497"/>
      <c r="AN55" s="569"/>
      <c r="AO55" s="497"/>
      <c r="AP55" s="569"/>
      <c r="AQ55" s="497"/>
      <c r="AR55" s="492"/>
      <c r="AS55" s="493"/>
      <c r="AT55" s="493"/>
      <c r="AU55" s="493"/>
      <c r="AV55" s="493"/>
      <c r="AW55" s="493"/>
      <c r="AX55" s="493"/>
      <c r="AY55" s="494"/>
      <c r="AZ55" s="96"/>
      <c r="BA55" s="9"/>
      <c r="BB55" s="9"/>
      <c r="BC55" s="126"/>
      <c r="BD55" s="126"/>
      <c r="BE55" s="126"/>
      <c r="BF55" s="129"/>
      <c r="BG55" s="129"/>
      <c r="BH55" s="129"/>
      <c r="BI55" s="129"/>
      <c r="BJ55" s="126"/>
      <c r="BK55" s="125"/>
      <c r="BL55" s="21"/>
      <c r="BM55" s="127"/>
      <c r="BN55" s="515"/>
      <c r="BO55" s="516"/>
      <c r="BP55" s="517"/>
      <c r="BQ55" s="107"/>
      <c r="BR55" s="108"/>
      <c r="BS55" s="488"/>
      <c r="BT55" s="489"/>
      <c r="BU55" s="490"/>
      <c r="BV55" s="491"/>
      <c r="BW55" s="488"/>
      <c r="BX55" s="490"/>
      <c r="BY55" s="490"/>
      <c r="BZ55" s="491"/>
      <c r="CA55" s="257"/>
      <c r="CB55" s="94"/>
      <c r="CC55" s="495"/>
      <c r="CD55" s="94"/>
      <c r="CE55" s="95"/>
      <c r="CF55" s="52"/>
    </row>
    <row r="56" spans="1:84" ht="30" customHeight="1" thickBot="1" x14ac:dyDescent="0.35">
      <c r="A56" s="60" t="str">
        <f t="shared" si="0"/>
        <v>Unitil</v>
      </c>
      <c r="B56" s="66" t="s">
        <v>383</v>
      </c>
      <c r="C56" s="66" t="s">
        <v>383</v>
      </c>
      <c r="D56" s="58" t="s">
        <v>430</v>
      </c>
      <c r="E56" s="58" t="s">
        <v>395</v>
      </c>
      <c r="F56" s="58" t="s">
        <v>431</v>
      </c>
      <c r="G56" s="58" t="s">
        <v>399</v>
      </c>
      <c r="H56" s="10" t="s">
        <v>387</v>
      </c>
      <c r="I56" s="14" t="s">
        <v>453</v>
      </c>
      <c r="J56" s="128" t="s">
        <v>454</v>
      </c>
      <c r="K56" s="526"/>
      <c r="L56" s="526"/>
      <c r="M56" s="58"/>
      <c r="N56" s="559"/>
      <c r="O56" s="527"/>
      <c r="P56" s="524"/>
      <c r="Q56" s="560"/>
      <c r="R56" s="528"/>
      <c r="S56" s="18"/>
      <c r="T56" s="16"/>
      <c r="U56" s="18"/>
      <c r="V56" s="16"/>
      <c r="W56" s="18"/>
      <c r="X56" s="16"/>
      <c r="Y56" s="18"/>
      <c r="Z56" s="10"/>
      <c r="AA56" s="561"/>
      <c r="AB56" s="562"/>
      <c r="AC56" s="563"/>
      <c r="AD56" s="562"/>
      <c r="AE56" s="563"/>
      <c r="AF56" s="562"/>
      <c r="AG56" s="563"/>
      <c r="AH56" s="562"/>
      <c r="AI56" s="564"/>
      <c r="AJ56" s="565"/>
      <c r="AK56" s="566"/>
      <c r="AL56" s="565"/>
      <c r="AM56" s="565"/>
      <c r="AN56" s="565"/>
      <c r="AO56" s="565"/>
      <c r="AP56" s="565"/>
      <c r="AQ56" s="565"/>
      <c r="AR56" s="492"/>
      <c r="AS56" s="493"/>
      <c r="AT56" s="493"/>
      <c r="AU56" s="493"/>
      <c r="AV56" s="493"/>
      <c r="AW56" s="493"/>
      <c r="AX56" s="493"/>
      <c r="AY56" s="494"/>
      <c r="AZ56" s="96"/>
      <c r="BA56" s="9"/>
      <c r="BB56" s="9"/>
      <c r="BC56" s="126"/>
      <c r="BD56" s="126"/>
      <c r="BE56" s="126"/>
      <c r="BF56" s="129"/>
      <c r="BG56" s="129"/>
      <c r="BH56" s="129"/>
      <c r="BI56" s="129"/>
      <c r="BJ56" s="126"/>
      <c r="BK56" s="125"/>
      <c r="BL56" s="21"/>
      <c r="BM56" s="127"/>
      <c r="BN56" s="511"/>
      <c r="BO56" s="514"/>
      <c r="BP56" s="513"/>
      <c r="BQ56" s="107"/>
      <c r="BR56" s="108"/>
      <c r="BS56" s="488"/>
      <c r="BT56" s="489"/>
      <c r="BU56" s="490"/>
      <c r="BV56" s="491"/>
      <c r="BW56" s="488"/>
      <c r="BX56" s="490"/>
      <c r="BY56" s="490"/>
      <c r="BZ56" s="491"/>
      <c r="CA56" s="257"/>
      <c r="CB56" s="94"/>
      <c r="CC56" s="495"/>
      <c r="CD56" s="94"/>
      <c r="CE56" s="95"/>
      <c r="CF56" s="52"/>
    </row>
    <row r="57" spans="1:84" ht="30" customHeight="1" x14ac:dyDescent="0.3">
      <c r="A57" s="60" t="str">
        <f t="shared" si="0"/>
        <v>Unitil</v>
      </c>
      <c r="B57" s="66" t="s">
        <v>383</v>
      </c>
      <c r="C57" s="66" t="s">
        <v>383</v>
      </c>
      <c r="D57" s="58" t="s">
        <v>430</v>
      </c>
      <c r="E57" s="58" t="s">
        <v>395</v>
      </c>
      <c r="F57" s="58" t="s">
        <v>432</v>
      </c>
      <c r="G57" s="58" t="s">
        <v>433</v>
      </c>
      <c r="H57" s="10" t="s">
        <v>387</v>
      </c>
      <c r="I57" s="14" t="s">
        <v>453</v>
      </c>
      <c r="J57" s="128" t="s">
        <v>454</v>
      </c>
      <c r="K57" s="526"/>
      <c r="L57" s="526"/>
      <c r="M57" s="58"/>
      <c r="N57" s="559"/>
      <c r="O57" s="527"/>
      <c r="P57" s="524"/>
      <c r="Q57" s="560"/>
      <c r="R57" s="528"/>
      <c r="S57" s="18"/>
      <c r="T57" s="16"/>
      <c r="U57" s="18"/>
      <c r="V57" s="16"/>
      <c r="W57" s="18"/>
      <c r="X57" s="16"/>
      <c r="Y57" s="18"/>
      <c r="Z57" s="10"/>
      <c r="AA57" s="561"/>
      <c r="AB57" s="562"/>
      <c r="AC57" s="563"/>
      <c r="AD57" s="562"/>
      <c r="AE57" s="563"/>
      <c r="AF57" s="562"/>
      <c r="AG57" s="563"/>
      <c r="AH57" s="562"/>
      <c r="AI57" s="564"/>
      <c r="AJ57" s="565"/>
      <c r="AK57" s="566"/>
      <c r="AL57" s="565"/>
      <c r="AM57" s="565"/>
      <c r="AN57" s="565"/>
      <c r="AO57" s="565"/>
      <c r="AP57" s="565"/>
      <c r="AQ57" s="565"/>
      <c r="AR57" s="492"/>
      <c r="AS57" s="493"/>
      <c r="AT57" s="493"/>
      <c r="AU57" s="493"/>
      <c r="AV57" s="493"/>
      <c r="AW57" s="493"/>
      <c r="AX57" s="493"/>
      <c r="AY57" s="494"/>
      <c r="AZ57" s="96"/>
      <c r="BA57" s="9"/>
      <c r="BB57" s="9"/>
      <c r="BC57" s="126"/>
      <c r="BD57" s="126"/>
      <c r="BE57" s="126"/>
      <c r="BF57" s="129"/>
      <c r="BG57" s="129"/>
      <c r="BH57" s="129"/>
      <c r="BI57" s="129"/>
      <c r="BJ57" s="126"/>
      <c r="BK57" s="125"/>
      <c r="BL57" s="21"/>
      <c r="BM57" s="127"/>
      <c r="BN57" s="511"/>
      <c r="BO57" s="514"/>
      <c r="BP57" s="513"/>
      <c r="BQ57" s="107"/>
      <c r="BR57" s="108"/>
      <c r="BS57" s="488"/>
      <c r="BT57" s="489"/>
      <c r="BU57" s="490"/>
      <c r="BV57" s="491"/>
      <c r="BW57" s="488"/>
      <c r="BX57" s="490"/>
      <c r="BY57" s="490"/>
      <c r="BZ57" s="491"/>
      <c r="CA57" s="257"/>
      <c r="CB57" s="94"/>
      <c r="CC57" s="495"/>
      <c r="CD57" s="94"/>
      <c r="CE57" s="95"/>
      <c r="CF57" s="52"/>
    </row>
    <row r="58" spans="1:84" ht="30" customHeight="1" thickBot="1" x14ac:dyDescent="0.35">
      <c r="A58" s="60" t="str">
        <f t="shared" si="0"/>
        <v>Unitil</v>
      </c>
      <c r="B58" s="66" t="s">
        <v>383</v>
      </c>
      <c r="C58" s="66" t="s">
        <v>383</v>
      </c>
      <c r="D58" s="58" t="s">
        <v>430</v>
      </c>
      <c r="E58" s="58" t="s">
        <v>395</v>
      </c>
      <c r="F58" s="496"/>
      <c r="G58" s="496"/>
      <c r="H58" s="497"/>
      <c r="I58" s="529"/>
      <c r="J58" s="496"/>
      <c r="K58" s="496"/>
      <c r="L58" s="496"/>
      <c r="M58" s="496"/>
      <c r="N58" s="567"/>
      <c r="O58" s="530"/>
      <c r="P58" s="568"/>
      <c r="Q58" s="510"/>
      <c r="R58" s="531"/>
      <c r="S58" s="569"/>
      <c r="T58" s="569"/>
      <c r="U58" s="569"/>
      <c r="V58" s="569"/>
      <c r="W58" s="569"/>
      <c r="X58" s="569"/>
      <c r="Y58" s="569"/>
      <c r="Z58" s="569"/>
      <c r="AA58" s="569"/>
      <c r="AB58" s="569"/>
      <c r="AC58" s="569"/>
      <c r="AD58" s="569"/>
      <c r="AE58" s="569"/>
      <c r="AF58" s="569"/>
      <c r="AG58" s="569"/>
      <c r="AH58" s="569"/>
      <c r="AI58" s="569"/>
      <c r="AJ58" s="569"/>
      <c r="AK58" s="497"/>
      <c r="AL58" s="569"/>
      <c r="AM58" s="497"/>
      <c r="AN58" s="569"/>
      <c r="AO58" s="497"/>
      <c r="AP58" s="569"/>
      <c r="AQ58" s="497"/>
      <c r="AR58" s="492"/>
      <c r="AS58" s="493"/>
      <c r="AT58" s="493"/>
      <c r="AU58" s="493"/>
      <c r="AV58" s="493"/>
      <c r="AW58" s="493"/>
      <c r="AX58" s="493"/>
      <c r="AY58" s="494"/>
      <c r="AZ58" s="96"/>
      <c r="BA58" s="9"/>
      <c r="BB58" s="9"/>
      <c r="BC58" s="126"/>
      <c r="BD58" s="126"/>
      <c r="BE58" s="126"/>
      <c r="BF58" s="129"/>
      <c r="BG58" s="129"/>
      <c r="BH58" s="129"/>
      <c r="BI58" s="129"/>
      <c r="BJ58" s="126"/>
      <c r="BK58" s="125"/>
      <c r="BL58" s="21"/>
      <c r="BM58" s="127"/>
      <c r="BN58" s="515"/>
      <c r="BO58" s="516"/>
      <c r="BP58" s="517"/>
      <c r="BQ58" s="107"/>
      <c r="BR58" s="108"/>
      <c r="BS58" s="488"/>
      <c r="BT58" s="489"/>
      <c r="BU58" s="490"/>
      <c r="BV58" s="491"/>
      <c r="BW58" s="488"/>
      <c r="BX58" s="490"/>
      <c r="BY58" s="490"/>
      <c r="BZ58" s="491"/>
      <c r="CA58" s="257"/>
      <c r="CB58" s="94"/>
      <c r="CC58" s="495"/>
      <c r="CD58" s="94"/>
      <c r="CE58" s="95"/>
      <c r="CF58" s="52"/>
    </row>
    <row r="59" spans="1:84" ht="30" customHeight="1" thickBot="1" x14ac:dyDescent="0.35">
      <c r="A59" s="60" t="str">
        <f t="shared" si="0"/>
        <v>Unitil</v>
      </c>
      <c r="B59" s="66" t="s">
        <v>383</v>
      </c>
      <c r="C59" s="66" t="s">
        <v>383</v>
      </c>
      <c r="D59" s="58" t="s">
        <v>434</v>
      </c>
      <c r="E59" s="58" t="s">
        <v>385</v>
      </c>
      <c r="F59" s="58" t="s">
        <v>435</v>
      </c>
      <c r="G59" s="58" t="s">
        <v>385</v>
      </c>
      <c r="H59" s="10" t="s">
        <v>387</v>
      </c>
      <c r="I59" s="14" t="s">
        <v>453</v>
      </c>
      <c r="J59" s="128" t="s">
        <v>454</v>
      </c>
      <c r="K59" s="526"/>
      <c r="L59" s="526"/>
      <c r="M59" s="58"/>
      <c r="N59" s="559"/>
      <c r="O59" s="527"/>
      <c r="P59" s="524"/>
      <c r="Q59" s="560"/>
      <c r="R59" s="528"/>
      <c r="S59" s="18"/>
      <c r="T59" s="16"/>
      <c r="U59" s="18"/>
      <c r="V59" s="16"/>
      <c r="W59" s="18"/>
      <c r="X59" s="16"/>
      <c r="Y59" s="18"/>
      <c r="Z59" s="10"/>
      <c r="AA59" s="561"/>
      <c r="AB59" s="562"/>
      <c r="AC59" s="563"/>
      <c r="AD59" s="562"/>
      <c r="AE59" s="563"/>
      <c r="AF59" s="562"/>
      <c r="AG59" s="563"/>
      <c r="AH59" s="562"/>
      <c r="AI59" s="564"/>
      <c r="AJ59" s="565"/>
      <c r="AK59" s="566"/>
      <c r="AL59" s="565"/>
      <c r="AM59" s="565"/>
      <c r="AN59" s="565"/>
      <c r="AO59" s="565"/>
      <c r="AP59" s="565"/>
      <c r="AQ59" s="565"/>
      <c r="AR59" s="492"/>
      <c r="AS59" s="493"/>
      <c r="AT59" s="493"/>
      <c r="AU59" s="493"/>
      <c r="AV59" s="493"/>
      <c r="AW59" s="493"/>
      <c r="AX59" s="493"/>
      <c r="AY59" s="494"/>
      <c r="AZ59" s="96"/>
      <c r="BA59" s="9"/>
      <c r="BB59" s="9"/>
      <c r="BC59" s="126"/>
      <c r="BD59" s="126"/>
      <c r="BE59" s="126"/>
      <c r="BF59" s="129"/>
      <c r="BG59" s="129"/>
      <c r="BH59" s="129"/>
      <c r="BI59" s="129"/>
      <c r="BJ59" s="126"/>
      <c r="BK59" s="125"/>
      <c r="BL59" s="21"/>
      <c r="BM59" s="127"/>
      <c r="BN59" s="511"/>
      <c r="BO59" s="514"/>
      <c r="BP59" s="513"/>
      <c r="BQ59" s="107"/>
      <c r="BR59" s="108"/>
      <c r="BS59" s="488"/>
      <c r="BT59" s="489"/>
      <c r="BU59" s="490"/>
      <c r="BV59" s="491"/>
      <c r="BW59" s="488"/>
      <c r="BX59" s="490"/>
      <c r="BY59" s="490"/>
      <c r="BZ59" s="491"/>
      <c r="CA59" s="257"/>
      <c r="CB59" s="94"/>
      <c r="CC59" s="495"/>
      <c r="CD59" s="94"/>
      <c r="CE59" s="95"/>
      <c r="CF59" s="52"/>
    </row>
    <row r="60" spans="1:84" ht="30" customHeight="1" thickBot="1" x14ac:dyDescent="0.35">
      <c r="A60" s="60" t="str">
        <f t="shared" si="0"/>
        <v>Unitil</v>
      </c>
      <c r="B60" s="66" t="s">
        <v>383</v>
      </c>
      <c r="C60" s="66" t="s">
        <v>383</v>
      </c>
      <c r="D60" s="58" t="s">
        <v>434</v>
      </c>
      <c r="E60" s="58" t="s">
        <v>385</v>
      </c>
      <c r="F60" s="58" t="s">
        <v>436</v>
      </c>
      <c r="G60" s="58" t="s">
        <v>385</v>
      </c>
      <c r="H60" s="10" t="s">
        <v>387</v>
      </c>
      <c r="I60" s="14" t="s">
        <v>453</v>
      </c>
      <c r="J60" s="128" t="s">
        <v>454</v>
      </c>
      <c r="K60" s="526"/>
      <c r="L60" s="526"/>
      <c r="M60" s="58"/>
      <c r="N60" s="559"/>
      <c r="O60" s="527"/>
      <c r="P60" s="524"/>
      <c r="Q60" s="560"/>
      <c r="R60" s="528"/>
      <c r="S60" s="18"/>
      <c r="T60" s="16"/>
      <c r="U60" s="18"/>
      <c r="V60" s="16"/>
      <c r="W60" s="18"/>
      <c r="X60" s="16"/>
      <c r="Y60" s="18"/>
      <c r="Z60" s="10"/>
      <c r="AA60" s="561"/>
      <c r="AB60" s="562"/>
      <c r="AC60" s="563"/>
      <c r="AD60" s="562"/>
      <c r="AE60" s="563"/>
      <c r="AF60" s="562"/>
      <c r="AG60" s="563"/>
      <c r="AH60" s="562"/>
      <c r="AI60" s="564"/>
      <c r="AJ60" s="565"/>
      <c r="AK60" s="566"/>
      <c r="AL60" s="565"/>
      <c r="AM60" s="565"/>
      <c r="AN60" s="565"/>
      <c r="AO60" s="565"/>
      <c r="AP60" s="565"/>
      <c r="AQ60" s="565"/>
      <c r="AR60" s="492"/>
      <c r="AS60" s="493"/>
      <c r="AT60" s="493"/>
      <c r="AU60" s="493"/>
      <c r="AV60" s="493"/>
      <c r="AW60" s="493"/>
      <c r="AX60" s="493"/>
      <c r="AY60" s="494"/>
      <c r="AZ60" s="96"/>
      <c r="BA60" s="9"/>
      <c r="BB60" s="9"/>
      <c r="BC60" s="126"/>
      <c r="BD60" s="126"/>
      <c r="BE60" s="126"/>
      <c r="BF60" s="129"/>
      <c r="BG60" s="129"/>
      <c r="BH60" s="129"/>
      <c r="BI60" s="129"/>
      <c r="BJ60" s="126"/>
      <c r="BK60" s="125"/>
      <c r="BL60" s="21"/>
      <c r="BM60" s="127"/>
      <c r="BN60" s="511"/>
      <c r="BO60" s="514"/>
      <c r="BP60" s="513"/>
      <c r="BQ60" s="107"/>
      <c r="BR60" s="108"/>
      <c r="BS60" s="488"/>
      <c r="BT60" s="489"/>
      <c r="BU60" s="490"/>
      <c r="BV60" s="491"/>
      <c r="BW60" s="488"/>
      <c r="BX60" s="490"/>
      <c r="BY60" s="490"/>
      <c r="BZ60" s="491"/>
      <c r="CA60" s="257"/>
      <c r="CB60" s="94"/>
      <c r="CC60" s="495"/>
      <c r="CD60" s="94"/>
      <c r="CE60" s="95"/>
      <c r="CF60" s="52"/>
    </row>
    <row r="61" spans="1:84" ht="30" customHeight="1" thickBot="1" x14ac:dyDescent="0.35">
      <c r="A61" s="60" t="str">
        <f t="shared" si="0"/>
        <v>Unitil</v>
      </c>
      <c r="B61" s="66" t="s">
        <v>383</v>
      </c>
      <c r="C61" s="66" t="s">
        <v>383</v>
      </c>
      <c r="D61" s="58" t="s">
        <v>434</v>
      </c>
      <c r="E61" s="58" t="s">
        <v>385</v>
      </c>
      <c r="F61" s="58" t="s">
        <v>437</v>
      </c>
      <c r="G61" s="58" t="s">
        <v>438</v>
      </c>
      <c r="H61" s="10" t="s">
        <v>387</v>
      </c>
      <c r="I61" s="14" t="s">
        <v>453</v>
      </c>
      <c r="J61" s="128" t="s">
        <v>454</v>
      </c>
      <c r="K61" s="526"/>
      <c r="L61" s="526"/>
      <c r="M61" s="58"/>
      <c r="N61" s="559"/>
      <c r="O61" s="527"/>
      <c r="P61" s="524"/>
      <c r="Q61" s="560"/>
      <c r="R61" s="528"/>
      <c r="S61" s="18"/>
      <c r="T61" s="16"/>
      <c r="U61" s="18"/>
      <c r="V61" s="16"/>
      <c r="W61" s="18"/>
      <c r="X61" s="16"/>
      <c r="Y61" s="18"/>
      <c r="Z61" s="10"/>
      <c r="AA61" s="561"/>
      <c r="AB61" s="562"/>
      <c r="AC61" s="563"/>
      <c r="AD61" s="562"/>
      <c r="AE61" s="563"/>
      <c r="AF61" s="562"/>
      <c r="AG61" s="563"/>
      <c r="AH61" s="562"/>
      <c r="AI61" s="564"/>
      <c r="AJ61" s="565"/>
      <c r="AK61" s="566"/>
      <c r="AL61" s="565"/>
      <c r="AM61" s="565"/>
      <c r="AN61" s="565"/>
      <c r="AO61" s="565"/>
      <c r="AP61" s="565"/>
      <c r="AQ61" s="565"/>
      <c r="AR61" s="492"/>
      <c r="AS61" s="493"/>
      <c r="AT61" s="493"/>
      <c r="AU61" s="493"/>
      <c r="AV61" s="493"/>
      <c r="AW61" s="493"/>
      <c r="AX61" s="493"/>
      <c r="AY61" s="494"/>
      <c r="AZ61" s="96"/>
      <c r="BA61" s="9"/>
      <c r="BB61" s="9"/>
      <c r="BC61" s="126"/>
      <c r="BD61" s="126"/>
      <c r="BE61" s="126"/>
      <c r="BF61" s="129"/>
      <c r="BG61" s="129"/>
      <c r="BH61" s="129"/>
      <c r="BI61" s="129"/>
      <c r="BJ61" s="126"/>
      <c r="BK61" s="125"/>
      <c r="BL61" s="21"/>
      <c r="BM61" s="127"/>
      <c r="BN61" s="511"/>
      <c r="BO61" s="514"/>
      <c r="BP61" s="513"/>
      <c r="BQ61" s="107"/>
      <c r="BR61" s="108"/>
      <c r="BS61" s="488"/>
      <c r="BT61" s="489"/>
      <c r="BU61" s="490"/>
      <c r="BV61" s="491"/>
      <c r="BW61" s="488"/>
      <c r="BX61" s="490"/>
      <c r="BY61" s="490"/>
      <c r="BZ61" s="491"/>
      <c r="CA61" s="257"/>
      <c r="CB61" s="94"/>
      <c r="CC61" s="495"/>
      <c r="CD61" s="94"/>
      <c r="CE61" s="95"/>
      <c r="CF61" s="52"/>
    </row>
    <row r="62" spans="1:84" ht="30" customHeight="1" thickBot="1" x14ac:dyDescent="0.35">
      <c r="A62" s="60" t="str">
        <f t="shared" si="0"/>
        <v>Unitil</v>
      </c>
      <c r="B62" s="66" t="s">
        <v>383</v>
      </c>
      <c r="C62" s="66" t="s">
        <v>383</v>
      </c>
      <c r="D62" s="58" t="s">
        <v>434</v>
      </c>
      <c r="E62" s="58" t="s">
        <v>385</v>
      </c>
      <c r="F62" s="58" t="s">
        <v>439</v>
      </c>
      <c r="G62" s="58" t="s">
        <v>385</v>
      </c>
      <c r="H62" s="10" t="s">
        <v>387</v>
      </c>
      <c r="I62" s="14" t="s">
        <v>453</v>
      </c>
      <c r="J62" s="128" t="s">
        <v>454</v>
      </c>
      <c r="K62" s="526"/>
      <c r="L62" s="526"/>
      <c r="M62" s="58"/>
      <c r="N62" s="559"/>
      <c r="O62" s="527"/>
      <c r="P62" s="524"/>
      <c r="Q62" s="560"/>
      <c r="R62" s="528"/>
      <c r="S62" s="18"/>
      <c r="T62" s="16"/>
      <c r="U62" s="18"/>
      <c r="V62" s="16"/>
      <c r="W62" s="18"/>
      <c r="X62" s="16"/>
      <c r="Y62" s="18"/>
      <c r="Z62" s="10"/>
      <c r="AA62" s="561"/>
      <c r="AB62" s="562"/>
      <c r="AC62" s="563"/>
      <c r="AD62" s="562"/>
      <c r="AE62" s="563"/>
      <c r="AF62" s="562"/>
      <c r="AG62" s="563"/>
      <c r="AH62" s="562"/>
      <c r="AI62" s="564"/>
      <c r="AJ62" s="565"/>
      <c r="AK62" s="566"/>
      <c r="AL62" s="565"/>
      <c r="AM62" s="565"/>
      <c r="AN62" s="565"/>
      <c r="AO62" s="565"/>
      <c r="AP62" s="565"/>
      <c r="AQ62" s="565"/>
      <c r="AR62" s="492"/>
      <c r="AS62" s="493"/>
      <c r="AT62" s="493"/>
      <c r="AU62" s="493"/>
      <c r="AV62" s="493"/>
      <c r="AW62" s="493"/>
      <c r="AX62" s="493"/>
      <c r="AY62" s="494"/>
      <c r="AZ62" s="96"/>
      <c r="BA62" s="9"/>
      <c r="BB62" s="9"/>
      <c r="BC62" s="126"/>
      <c r="BD62" s="126"/>
      <c r="BE62" s="126"/>
      <c r="BF62" s="129"/>
      <c r="BG62" s="129"/>
      <c r="BH62" s="129"/>
      <c r="BI62" s="129"/>
      <c r="BJ62" s="126"/>
      <c r="BK62" s="125"/>
      <c r="BL62" s="21"/>
      <c r="BM62" s="127"/>
      <c r="BN62" s="511"/>
      <c r="BO62" s="514"/>
      <c r="BP62" s="513"/>
      <c r="BQ62" s="107"/>
      <c r="BR62" s="108"/>
      <c r="BS62" s="488"/>
      <c r="BT62" s="489"/>
      <c r="BU62" s="490"/>
      <c r="BV62" s="491"/>
      <c r="BW62" s="488"/>
      <c r="BX62" s="490"/>
      <c r="BY62" s="490"/>
      <c r="BZ62" s="491"/>
      <c r="CA62" s="257"/>
      <c r="CB62" s="94"/>
      <c r="CC62" s="495"/>
      <c r="CD62" s="94"/>
      <c r="CE62" s="95"/>
      <c r="CF62" s="52"/>
    </row>
    <row r="63" spans="1:84" ht="30" customHeight="1" thickBot="1" x14ac:dyDescent="0.35">
      <c r="A63" s="60" t="str">
        <f t="shared" si="0"/>
        <v>Unitil</v>
      </c>
      <c r="B63" s="66" t="s">
        <v>383</v>
      </c>
      <c r="C63" s="66" t="s">
        <v>383</v>
      </c>
      <c r="D63" s="58" t="s">
        <v>434</v>
      </c>
      <c r="E63" s="58" t="s">
        <v>385</v>
      </c>
      <c r="F63" s="58">
        <v>1303</v>
      </c>
      <c r="G63" s="58" t="s">
        <v>385</v>
      </c>
      <c r="H63" s="10" t="s">
        <v>387</v>
      </c>
      <c r="I63" s="14" t="s">
        <v>453</v>
      </c>
      <c r="J63" s="128" t="s">
        <v>454</v>
      </c>
      <c r="K63" s="526"/>
      <c r="L63" s="526"/>
      <c r="M63" s="58"/>
      <c r="N63" s="527"/>
      <c r="O63" s="527"/>
      <c r="P63" s="524"/>
      <c r="Q63" s="560"/>
      <c r="R63" s="528"/>
      <c r="S63" s="18"/>
      <c r="T63" s="16"/>
      <c r="U63" s="18"/>
      <c r="V63" s="16"/>
      <c r="W63" s="18"/>
      <c r="X63" s="16"/>
      <c r="Y63" s="18"/>
      <c r="Z63" s="10"/>
      <c r="AA63" s="561"/>
      <c r="AB63" s="562"/>
      <c r="AC63" s="563"/>
      <c r="AD63" s="562"/>
      <c r="AE63" s="563"/>
      <c r="AF63" s="562"/>
      <c r="AG63" s="563"/>
      <c r="AH63" s="562"/>
      <c r="AI63" s="564"/>
      <c r="AJ63" s="565"/>
      <c r="AK63" s="566"/>
      <c r="AL63" s="565"/>
      <c r="AM63" s="565"/>
      <c r="AN63" s="565"/>
      <c r="AO63" s="565"/>
      <c r="AP63" s="565"/>
      <c r="AQ63" s="565"/>
      <c r="AR63" s="492"/>
      <c r="AS63" s="493"/>
      <c r="AT63" s="493"/>
      <c r="AU63" s="493"/>
      <c r="AV63" s="493"/>
      <c r="AW63" s="493"/>
      <c r="AX63" s="493"/>
      <c r="AY63" s="494"/>
      <c r="AZ63" s="96"/>
      <c r="BA63" s="9"/>
      <c r="BB63" s="9"/>
      <c r="BC63" s="126"/>
      <c r="BD63" s="126"/>
      <c r="BE63" s="126"/>
      <c r="BF63" s="129"/>
      <c r="BG63" s="129"/>
      <c r="BH63" s="129"/>
      <c r="BI63" s="129"/>
      <c r="BJ63" s="126"/>
      <c r="BK63" s="125"/>
      <c r="BL63" s="21"/>
      <c r="BM63" s="127"/>
      <c r="BN63" s="511"/>
      <c r="BO63" s="514"/>
      <c r="BP63" s="513"/>
      <c r="BQ63" s="107"/>
      <c r="BR63" s="108"/>
      <c r="BS63" s="488"/>
      <c r="BT63" s="489"/>
      <c r="BU63" s="490"/>
      <c r="BV63" s="491"/>
      <c r="BW63" s="488"/>
      <c r="BX63" s="490"/>
      <c r="BY63" s="490"/>
      <c r="BZ63" s="491"/>
      <c r="CA63" s="257"/>
      <c r="CB63" s="94"/>
      <c r="CC63" s="495"/>
      <c r="CD63" s="94"/>
      <c r="CE63" s="95"/>
      <c r="CF63" s="52"/>
    </row>
    <row r="64" spans="1:84" ht="30" customHeight="1" x14ac:dyDescent="0.3">
      <c r="A64" s="60" t="str">
        <f t="shared" si="0"/>
        <v>Unitil</v>
      </c>
      <c r="B64" s="66" t="s">
        <v>383</v>
      </c>
      <c r="C64" s="66" t="s">
        <v>383</v>
      </c>
      <c r="D64" s="58" t="s">
        <v>434</v>
      </c>
      <c r="E64" s="58" t="s">
        <v>385</v>
      </c>
      <c r="F64" s="58">
        <v>1309</v>
      </c>
      <c r="G64" s="58" t="s">
        <v>385</v>
      </c>
      <c r="H64" s="10" t="s">
        <v>387</v>
      </c>
      <c r="I64" s="14" t="s">
        <v>453</v>
      </c>
      <c r="J64" s="128" t="s">
        <v>454</v>
      </c>
      <c r="K64" s="526"/>
      <c r="L64" s="526"/>
      <c r="M64" s="58"/>
      <c r="N64" s="527"/>
      <c r="O64" s="527"/>
      <c r="P64" s="572"/>
      <c r="Q64" s="560"/>
      <c r="R64" s="528"/>
      <c r="S64" s="18"/>
      <c r="T64" s="16"/>
      <c r="U64" s="18"/>
      <c r="V64" s="16"/>
      <c r="W64" s="18"/>
      <c r="X64" s="16"/>
      <c r="Y64" s="18"/>
      <c r="Z64" s="10"/>
      <c r="AA64" s="561"/>
      <c r="AB64" s="562"/>
      <c r="AC64" s="563"/>
      <c r="AD64" s="562"/>
      <c r="AE64" s="563"/>
      <c r="AF64" s="562"/>
      <c r="AG64" s="563"/>
      <c r="AH64" s="562"/>
      <c r="AI64" s="564"/>
      <c r="AJ64" s="565"/>
      <c r="AK64" s="566"/>
      <c r="AL64" s="565"/>
      <c r="AM64" s="565"/>
      <c r="AN64" s="565"/>
      <c r="AO64" s="565"/>
      <c r="AP64" s="565"/>
      <c r="AQ64" s="565"/>
      <c r="AR64" s="492"/>
      <c r="AS64" s="493"/>
      <c r="AT64" s="493"/>
      <c r="AU64" s="493"/>
      <c r="AV64" s="493"/>
      <c r="AW64" s="493"/>
      <c r="AX64" s="493"/>
      <c r="AY64" s="494"/>
      <c r="AZ64" s="96"/>
      <c r="BA64" s="9"/>
      <c r="BB64" s="9"/>
      <c r="BC64" s="126"/>
      <c r="BD64" s="126"/>
      <c r="BE64" s="126"/>
      <c r="BF64" s="129"/>
      <c r="BG64" s="129"/>
      <c r="BH64" s="129"/>
      <c r="BI64" s="129"/>
      <c r="BJ64" s="126"/>
      <c r="BK64" s="125"/>
      <c r="BL64" s="21"/>
      <c r="BM64" s="127"/>
      <c r="BN64" s="511"/>
      <c r="BO64" s="514"/>
      <c r="BP64" s="513"/>
      <c r="BQ64" s="107"/>
      <c r="BR64" s="108"/>
      <c r="BS64" s="488"/>
      <c r="BT64" s="489"/>
      <c r="BU64" s="490"/>
      <c r="BV64" s="491"/>
      <c r="BW64" s="488"/>
      <c r="BX64" s="490"/>
      <c r="BY64" s="490"/>
      <c r="BZ64" s="491"/>
      <c r="CA64" s="257"/>
      <c r="CB64" s="94"/>
      <c r="CC64" s="495"/>
      <c r="CD64" s="94"/>
      <c r="CE64" s="95"/>
      <c r="CF64" s="52"/>
    </row>
    <row r="65" spans="1:99" ht="30" customHeight="1" thickBot="1" x14ac:dyDescent="0.35">
      <c r="A65" s="60" t="str">
        <f t="shared" si="0"/>
        <v>Unitil</v>
      </c>
      <c r="B65" s="66" t="s">
        <v>383</v>
      </c>
      <c r="C65" s="66" t="s">
        <v>383</v>
      </c>
      <c r="D65" s="58" t="s">
        <v>434</v>
      </c>
      <c r="E65" s="58" t="s">
        <v>385</v>
      </c>
      <c r="F65" s="496"/>
      <c r="G65" s="496"/>
      <c r="H65" s="497"/>
      <c r="I65" s="529"/>
      <c r="J65" s="496"/>
      <c r="K65" s="496"/>
      <c r="L65" s="496"/>
      <c r="M65" s="496"/>
      <c r="N65" s="567"/>
      <c r="O65" s="530"/>
      <c r="P65" s="568"/>
      <c r="Q65" s="510"/>
      <c r="R65" s="531"/>
      <c r="S65" s="569"/>
      <c r="T65" s="569"/>
      <c r="U65" s="569"/>
      <c r="V65" s="569"/>
      <c r="W65" s="569"/>
      <c r="X65" s="569"/>
      <c r="Y65" s="569"/>
      <c r="Z65" s="569"/>
      <c r="AA65" s="569"/>
      <c r="AB65" s="569"/>
      <c r="AC65" s="569"/>
      <c r="AD65" s="569"/>
      <c r="AE65" s="569"/>
      <c r="AF65" s="569"/>
      <c r="AG65" s="569"/>
      <c r="AH65" s="569"/>
      <c r="AI65" s="569"/>
      <c r="AJ65" s="569"/>
      <c r="AK65" s="497"/>
      <c r="AL65" s="569"/>
      <c r="AM65" s="497"/>
      <c r="AN65" s="569"/>
      <c r="AO65" s="497"/>
      <c r="AP65" s="569"/>
      <c r="AQ65" s="497"/>
      <c r="AR65" s="492"/>
      <c r="AS65" s="493"/>
      <c r="AT65" s="493"/>
      <c r="AU65" s="493"/>
      <c r="AV65" s="493"/>
      <c r="AW65" s="493"/>
      <c r="AX65" s="493"/>
      <c r="AY65" s="494"/>
      <c r="AZ65" s="96"/>
      <c r="BA65" s="9"/>
      <c r="BB65" s="9"/>
      <c r="BC65" s="126"/>
      <c r="BD65" s="126"/>
      <c r="BE65" s="126"/>
      <c r="BF65" s="129"/>
      <c r="BG65" s="129"/>
      <c r="BH65" s="129"/>
      <c r="BI65" s="129"/>
      <c r="BJ65" s="126"/>
      <c r="BK65" s="125"/>
      <c r="BL65" s="21"/>
      <c r="BM65" s="127"/>
      <c r="BN65" s="515"/>
      <c r="BO65" s="516"/>
      <c r="BP65" s="517"/>
      <c r="BQ65" s="107"/>
      <c r="BR65" s="108"/>
      <c r="BS65" s="498"/>
      <c r="BT65" s="106"/>
      <c r="BU65" s="105"/>
      <c r="BV65" s="499"/>
      <c r="BW65" s="498"/>
      <c r="BX65" s="105"/>
      <c r="BY65" s="105"/>
      <c r="BZ65" s="499"/>
      <c r="CA65" s="257"/>
      <c r="CB65" s="94"/>
      <c r="CC65" s="495"/>
      <c r="CD65" s="94"/>
      <c r="CE65" s="95"/>
      <c r="CF65" s="52"/>
    </row>
    <row r="66" spans="1:99" ht="30" customHeight="1" thickBot="1" x14ac:dyDescent="0.35">
      <c r="A66" s="60" t="str">
        <f t="shared" si="0"/>
        <v>Unitil</v>
      </c>
      <c r="B66" s="66" t="s">
        <v>383</v>
      </c>
      <c r="C66" s="66" t="s">
        <v>383</v>
      </c>
      <c r="D66" s="58" t="s">
        <v>440</v>
      </c>
      <c r="E66" s="58" t="s">
        <v>385</v>
      </c>
      <c r="F66" s="58" t="s">
        <v>441</v>
      </c>
      <c r="G66" s="58" t="s">
        <v>385</v>
      </c>
      <c r="H66" s="10" t="s">
        <v>387</v>
      </c>
      <c r="I66" s="14" t="s">
        <v>453</v>
      </c>
      <c r="J66" s="128" t="s">
        <v>454</v>
      </c>
      <c r="K66" s="526"/>
      <c r="L66" s="526"/>
      <c r="M66" s="58"/>
      <c r="N66" s="559"/>
      <c r="O66" s="527"/>
      <c r="P66" s="524"/>
      <c r="Q66" s="560"/>
      <c r="R66" s="528"/>
      <c r="S66" s="18"/>
      <c r="T66" s="16"/>
      <c r="U66" s="18"/>
      <c r="V66" s="16"/>
      <c r="W66" s="18"/>
      <c r="X66" s="16"/>
      <c r="Y66" s="18"/>
      <c r="Z66" s="10"/>
      <c r="AA66" s="561"/>
      <c r="AB66" s="562"/>
      <c r="AC66" s="563"/>
      <c r="AD66" s="562"/>
      <c r="AE66" s="563"/>
      <c r="AF66" s="562"/>
      <c r="AG66" s="563"/>
      <c r="AH66" s="562"/>
      <c r="AI66" s="564"/>
      <c r="AJ66" s="565"/>
      <c r="AK66" s="566"/>
      <c r="AL66" s="565"/>
      <c r="AM66" s="565"/>
      <c r="AN66" s="565"/>
      <c r="AO66" s="565"/>
      <c r="AP66" s="565"/>
      <c r="AQ66" s="565"/>
      <c r="AR66" s="492"/>
      <c r="AS66" s="493"/>
      <c r="AT66" s="493"/>
      <c r="AU66" s="493"/>
      <c r="AV66" s="493"/>
      <c r="AW66" s="493"/>
      <c r="AX66" s="493"/>
      <c r="AY66" s="494"/>
      <c r="AZ66" s="96"/>
      <c r="BA66" s="9"/>
      <c r="BB66" s="9"/>
      <c r="BC66" s="126"/>
      <c r="BD66" s="126"/>
      <c r="BE66" s="126"/>
      <c r="BF66" s="129"/>
      <c r="BG66" s="129"/>
      <c r="BH66" s="129"/>
      <c r="BI66" s="129"/>
      <c r="BJ66" s="126"/>
      <c r="BK66" s="125"/>
      <c r="BL66" s="21"/>
      <c r="BM66" s="127"/>
      <c r="BN66" s="511"/>
      <c r="BO66" s="514"/>
      <c r="BP66" s="513"/>
      <c r="BQ66" s="107"/>
      <c r="BR66" s="108"/>
      <c r="BS66" s="498"/>
      <c r="BT66" s="106"/>
      <c r="BU66" s="105"/>
      <c r="BV66" s="499"/>
      <c r="BW66" s="498"/>
      <c r="BX66" s="105"/>
      <c r="BY66" s="105"/>
      <c r="BZ66" s="499"/>
      <c r="CA66" s="257"/>
      <c r="CB66" s="94"/>
      <c r="CC66" s="495"/>
      <c r="CD66" s="94"/>
      <c r="CE66" s="95"/>
      <c r="CF66" s="52"/>
    </row>
    <row r="67" spans="1:99" ht="30" customHeight="1" x14ac:dyDescent="0.3">
      <c r="A67" s="60" t="str">
        <f t="shared" si="0"/>
        <v>Unitil</v>
      </c>
      <c r="B67" s="66" t="s">
        <v>383</v>
      </c>
      <c r="C67" s="66" t="s">
        <v>383</v>
      </c>
      <c r="D67" s="58" t="s">
        <v>440</v>
      </c>
      <c r="E67" s="58" t="s">
        <v>385</v>
      </c>
      <c r="F67" s="58" t="s">
        <v>442</v>
      </c>
      <c r="G67" s="58" t="s">
        <v>385</v>
      </c>
      <c r="H67" s="10" t="s">
        <v>387</v>
      </c>
      <c r="I67" s="14" t="s">
        <v>453</v>
      </c>
      <c r="J67" s="128" t="s">
        <v>454</v>
      </c>
      <c r="K67" s="526"/>
      <c r="L67" s="526"/>
      <c r="M67" s="58"/>
      <c r="N67" s="559"/>
      <c r="O67" s="527"/>
      <c r="P67" s="524"/>
      <c r="Q67" s="560"/>
      <c r="R67" s="528"/>
      <c r="S67" s="18"/>
      <c r="T67" s="16"/>
      <c r="U67" s="18"/>
      <c r="V67" s="16"/>
      <c r="W67" s="18"/>
      <c r="X67" s="16"/>
      <c r="Y67" s="18"/>
      <c r="Z67" s="10"/>
      <c r="AA67" s="561"/>
      <c r="AB67" s="562"/>
      <c r="AC67" s="563"/>
      <c r="AD67" s="562"/>
      <c r="AE67" s="563"/>
      <c r="AF67" s="562"/>
      <c r="AG67" s="563"/>
      <c r="AH67" s="562"/>
      <c r="AI67" s="564"/>
      <c r="AJ67" s="565"/>
      <c r="AK67" s="566"/>
      <c r="AL67" s="565"/>
      <c r="AM67" s="565"/>
      <c r="AN67" s="565"/>
      <c r="AO67" s="565"/>
      <c r="AP67" s="565"/>
      <c r="AQ67" s="565"/>
      <c r="AR67" s="492"/>
      <c r="AS67" s="493"/>
      <c r="AT67" s="493"/>
      <c r="AU67" s="493"/>
      <c r="AV67" s="493"/>
      <c r="AW67" s="493"/>
      <c r="AX67" s="493"/>
      <c r="AY67" s="494"/>
      <c r="AZ67" s="96"/>
      <c r="BA67" s="9"/>
      <c r="BB67" s="9"/>
      <c r="BC67" s="126"/>
      <c r="BD67" s="126"/>
      <c r="BE67" s="126"/>
      <c r="BF67" s="129"/>
      <c r="BG67" s="129"/>
      <c r="BH67" s="129"/>
      <c r="BI67" s="129"/>
      <c r="BJ67" s="126"/>
      <c r="BK67" s="125"/>
      <c r="BL67" s="21"/>
      <c r="BM67" s="127"/>
      <c r="BN67" s="511"/>
      <c r="BO67" s="514"/>
      <c r="BP67" s="513"/>
      <c r="BQ67" s="107"/>
      <c r="BR67" s="108"/>
      <c r="BS67" s="498"/>
      <c r="BT67" s="106"/>
      <c r="BU67" s="105"/>
      <c r="BV67" s="499"/>
      <c r="BW67" s="498"/>
      <c r="BX67" s="105"/>
      <c r="BY67" s="105"/>
      <c r="BZ67" s="499"/>
      <c r="CA67" s="257"/>
      <c r="CB67" s="94"/>
      <c r="CC67" s="495"/>
      <c r="CD67" s="94"/>
      <c r="CE67" s="95"/>
      <c r="CF67" s="52"/>
    </row>
    <row r="68" spans="1:99" ht="30" customHeight="1" thickBot="1" x14ac:dyDescent="0.35">
      <c r="A68" s="60" t="str">
        <f t="shared" si="0"/>
        <v>Unitil</v>
      </c>
      <c r="B68" s="66" t="s">
        <v>383</v>
      </c>
      <c r="C68" s="66" t="s">
        <v>383</v>
      </c>
      <c r="D68" s="58" t="s">
        <v>440</v>
      </c>
      <c r="E68" s="58" t="s">
        <v>385</v>
      </c>
      <c r="F68" s="58" t="s">
        <v>443</v>
      </c>
      <c r="G68" s="58" t="s">
        <v>385</v>
      </c>
      <c r="H68" s="10" t="s">
        <v>387</v>
      </c>
      <c r="I68" s="14" t="s">
        <v>453</v>
      </c>
      <c r="J68" s="128" t="s">
        <v>454</v>
      </c>
      <c r="K68" s="526"/>
      <c r="L68" s="526"/>
      <c r="M68" s="58"/>
      <c r="N68" s="527"/>
      <c r="O68" s="527"/>
      <c r="P68" s="572"/>
      <c r="Q68" s="560"/>
      <c r="R68" s="528"/>
      <c r="S68" s="18"/>
      <c r="T68" s="16"/>
      <c r="U68" s="18"/>
      <c r="V68" s="16"/>
      <c r="W68" s="18"/>
      <c r="X68" s="16"/>
      <c r="Y68" s="18"/>
      <c r="Z68" s="10"/>
      <c r="AA68" s="65"/>
      <c r="AB68" s="65"/>
      <c r="AC68" s="65"/>
      <c r="AD68" s="65"/>
      <c r="AE68" s="65"/>
      <c r="AF68" s="65"/>
      <c r="AG68" s="65"/>
      <c r="AH68" s="65"/>
      <c r="AI68" s="65"/>
      <c r="AJ68" s="65"/>
      <c r="AK68" s="204"/>
      <c r="AL68" s="65"/>
      <c r="AM68" s="204"/>
      <c r="AN68" s="65"/>
      <c r="AO68" s="204"/>
      <c r="AP68" s="65"/>
      <c r="AQ68" s="204"/>
      <c r="AR68" s="492"/>
      <c r="AS68" s="493"/>
      <c r="AT68" s="493"/>
      <c r="AU68" s="493"/>
      <c r="AV68" s="493"/>
      <c r="AW68" s="493"/>
      <c r="AX68" s="493"/>
      <c r="AY68" s="494"/>
      <c r="AZ68" s="96"/>
      <c r="BA68" s="9"/>
      <c r="BB68" s="9"/>
      <c r="BC68" s="126"/>
      <c r="BD68" s="126"/>
      <c r="BE68" s="126"/>
      <c r="BF68" s="129"/>
      <c r="BG68" s="129"/>
      <c r="BH68" s="129"/>
      <c r="BI68" s="129"/>
      <c r="BJ68" s="126"/>
      <c r="BK68" s="125"/>
      <c r="BL68" s="21"/>
      <c r="BM68" s="127"/>
      <c r="BN68" s="511"/>
      <c r="BO68" s="514"/>
      <c r="BP68" s="513"/>
      <c r="BQ68" s="107"/>
      <c r="BR68" s="108"/>
      <c r="BS68" s="498"/>
      <c r="BT68" s="106"/>
      <c r="BU68" s="105"/>
      <c r="BV68" s="499"/>
      <c r="BW68" s="498"/>
      <c r="BX68" s="105"/>
      <c r="BY68" s="105"/>
      <c r="BZ68" s="499"/>
      <c r="CA68" s="257"/>
      <c r="CB68" s="94"/>
      <c r="CC68" s="495"/>
      <c r="CD68" s="94"/>
      <c r="CE68" s="95"/>
      <c r="CF68" s="52"/>
    </row>
    <row r="69" spans="1:99" ht="30" customHeight="1" thickBot="1" x14ac:dyDescent="0.35">
      <c r="A69" s="60" t="str">
        <f t="shared" si="0"/>
        <v>Unitil</v>
      </c>
      <c r="B69" s="66" t="s">
        <v>383</v>
      </c>
      <c r="C69" s="66" t="s">
        <v>383</v>
      </c>
      <c r="D69" s="58" t="s">
        <v>440</v>
      </c>
      <c r="E69" s="58" t="s">
        <v>385</v>
      </c>
      <c r="F69" s="58" t="s">
        <v>444</v>
      </c>
      <c r="G69" s="58" t="s">
        <v>385</v>
      </c>
      <c r="H69" s="10" t="s">
        <v>387</v>
      </c>
      <c r="I69" s="14" t="s">
        <v>453</v>
      </c>
      <c r="J69" s="128" t="s">
        <v>454</v>
      </c>
      <c r="K69" s="526"/>
      <c r="L69" s="526"/>
      <c r="M69" s="58"/>
      <c r="N69" s="559"/>
      <c r="O69" s="527"/>
      <c r="P69" s="524"/>
      <c r="Q69" s="560"/>
      <c r="R69" s="528"/>
      <c r="S69" s="18"/>
      <c r="T69" s="16"/>
      <c r="U69" s="18"/>
      <c r="V69" s="16"/>
      <c r="W69" s="18"/>
      <c r="X69" s="16"/>
      <c r="Y69" s="18"/>
      <c r="Z69" s="10"/>
      <c r="AA69" s="561"/>
      <c r="AB69" s="562"/>
      <c r="AC69" s="563"/>
      <c r="AD69" s="562"/>
      <c r="AE69" s="563"/>
      <c r="AF69" s="562"/>
      <c r="AG69" s="563"/>
      <c r="AH69" s="562"/>
      <c r="AI69" s="564"/>
      <c r="AJ69" s="565"/>
      <c r="AK69" s="566"/>
      <c r="AL69" s="565"/>
      <c r="AM69" s="565"/>
      <c r="AN69" s="565"/>
      <c r="AO69" s="565"/>
      <c r="AP69" s="565"/>
      <c r="AQ69" s="565"/>
      <c r="AR69" s="492"/>
      <c r="AS69" s="493"/>
      <c r="AT69" s="493"/>
      <c r="AU69" s="493"/>
      <c r="AV69" s="493"/>
      <c r="AW69" s="493"/>
      <c r="AX69" s="493"/>
      <c r="AY69" s="494"/>
      <c r="AZ69" s="96"/>
      <c r="BA69" s="9"/>
      <c r="BB69" s="9"/>
      <c r="BC69" s="126"/>
      <c r="BD69" s="126"/>
      <c r="BE69" s="126"/>
      <c r="BF69" s="129"/>
      <c r="BG69" s="129"/>
      <c r="BH69" s="129"/>
      <c r="BI69" s="129"/>
      <c r="BJ69" s="126"/>
      <c r="BK69" s="125"/>
      <c r="BL69" s="21"/>
      <c r="BM69" s="127"/>
      <c r="BN69" s="511"/>
      <c r="BO69" s="514"/>
      <c r="BP69" s="513"/>
      <c r="BQ69" s="107"/>
      <c r="BR69" s="108"/>
      <c r="BS69" s="498"/>
      <c r="BT69" s="106"/>
      <c r="BU69" s="105"/>
      <c r="BV69" s="499"/>
      <c r="BW69" s="498"/>
      <c r="BX69" s="105"/>
      <c r="BY69" s="105"/>
      <c r="BZ69" s="499"/>
      <c r="CA69" s="257"/>
      <c r="CB69" s="94"/>
      <c r="CC69" s="495"/>
      <c r="CD69" s="94"/>
      <c r="CE69" s="95"/>
      <c r="CF69" s="52"/>
    </row>
    <row r="70" spans="1:99" ht="30" customHeight="1" x14ac:dyDescent="0.3">
      <c r="A70" s="500" t="str">
        <f t="shared" si="0"/>
        <v>Unitil</v>
      </c>
      <c r="B70" s="501" t="s">
        <v>383</v>
      </c>
      <c r="C70" s="501" t="s">
        <v>383</v>
      </c>
      <c r="D70" s="212" t="s">
        <v>440</v>
      </c>
      <c r="E70" s="212" t="s">
        <v>385</v>
      </c>
      <c r="F70" s="212" t="s">
        <v>445</v>
      </c>
      <c r="G70" s="212" t="s">
        <v>385</v>
      </c>
      <c r="H70" s="196" t="s">
        <v>387</v>
      </c>
      <c r="I70" s="534" t="s">
        <v>453</v>
      </c>
      <c r="J70" s="195" t="s">
        <v>454</v>
      </c>
      <c r="K70" s="535"/>
      <c r="L70" s="535"/>
      <c r="M70" s="58"/>
      <c r="N70" s="559"/>
      <c r="O70" s="536"/>
      <c r="P70" s="573"/>
      <c r="Q70" s="560"/>
      <c r="R70" s="537"/>
      <c r="S70" s="18"/>
      <c r="T70" s="16"/>
      <c r="U70" s="18"/>
      <c r="V70" s="16"/>
      <c r="W70" s="18"/>
      <c r="X70" s="16"/>
      <c r="Y70" s="18"/>
      <c r="Z70" s="10"/>
      <c r="AA70" s="561"/>
      <c r="AB70" s="562"/>
      <c r="AC70" s="563"/>
      <c r="AD70" s="562"/>
      <c r="AE70" s="563"/>
      <c r="AF70" s="562"/>
      <c r="AG70" s="563"/>
      <c r="AH70" s="562"/>
      <c r="AI70" s="564"/>
      <c r="AJ70" s="565"/>
      <c r="AK70" s="566"/>
      <c r="AL70" s="565"/>
      <c r="AM70" s="565"/>
      <c r="AN70" s="565"/>
      <c r="AO70" s="565"/>
      <c r="AP70" s="565"/>
      <c r="AQ70" s="565"/>
      <c r="AR70" s="492"/>
      <c r="AS70" s="493"/>
      <c r="AT70" s="493"/>
      <c r="AU70" s="493"/>
      <c r="AV70" s="493"/>
      <c r="AW70" s="493"/>
      <c r="AX70" s="493"/>
      <c r="AY70" s="494"/>
      <c r="AZ70" s="96"/>
      <c r="BA70" s="9"/>
      <c r="BB70" s="9"/>
      <c r="BC70" s="126"/>
      <c r="BD70" s="126"/>
      <c r="BE70" s="126"/>
      <c r="BF70" s="129"/>
      <c r="BG70" s="129"/>
      <c r="BH70" s="129"/>
      <c r="BI70" s="129"/>
      <c r="BJ70" s="126"/>
      <c r="BK70" s="125"/>
      <c r="BL70" s="21"/>
      <c r="BM70" s="127"/>
      <c r="BN70" s="511"/>
      <c r="BO70" s="514"/>
      <c r="BP70" s="513"/>
      <c r="BQ70" s="107"/>
      <c r="BR70" s="108"/>
      <c r="BS70" s="498"/>
      <c r="BT70" s="106"/>
      <c r="BU70" s="105"/>
      <c r="BV70" s="499"/>
      <c r="BW70" s="498"/>
      <c r="BX70" s="105"/>
      <c r="BY70" s="105"/>
      <c r="BZ70" s="499"/>
      <c r="CA70" s="257"/>
      <c r="CB70" s="94"/>
      <c r="CC70" s="495"/>
      <c r="CD70" s="94"/>
      <c r="CE70" s="95"/>
      <c r="CF70" s="52"/>
    </row>
    <row r="71" spans="1:99" ht="30" customHeight="1" thickBot="1" x14ac:dyDescent="0.35">
      <c r="A71" s="61" t="s">
        <v>446</v>
      </c>
      <c r="B71" s="502" t="s">
        <v>383</v>
      </c>
      <c r="C71" s="502" t="s">
        <v>383</v>
      </c>
      <c r="D71" s="209" t="s">
        <v>440</v>
      </c>
      <c r="E71" s="209" t="s">
        <v>385</v>
      </c>
      <c r="F71" s="503"/>
      <c r="G71" s="503"/>
      <c r="H71" s="504"/>
      <c r="I71" s="503"/>
      <c r="J71" s="503"/>
      <c r="K71" s="503"/>
      <c r="L71" s="503"/>
      <c r="M71" s="503"/>
      <c r="N71" s="503"/>
      <c r="O71" s="503"/>
      <c r="P71" s="574"/>
      <c r="Q71" s="510"/>
      <c r="R71" s="538"/>
      <c r="S71" s="569"/>
      <c r="T71" s="569"/>
      <c r="U71" s="569"/>
      <c r="V71" s="569"/>
      <c r="W71" s="569"/>
      <c r="X71" s="569"/>
      <c r="Y71" s="569"/>
      <c r="Z71" s="569"/>
      <c r="AA71" s="569"/>
      <c r="AB71" s="569"/>
      <c r="AC71" s="569"/>
      <c r="AD71" s="569"/>
      <c r="AE71" s="569"/>
      <c r="AF71" s="569"/>
      <c r="AG71" s="569"/>
      <c r="AH71" s="569"/>
      <c r="AI71" s="569"/>
      <c r="AJ71" s="575"/>
      <c r="AK71" s="504"/>
      <c r="AL71" s="575"/>
      <c r="AM71" s="504"/>
      <c r="AN71" s="575"/>
      <c r="AO71" s="504"/>
      <c r="AP71" s="575"/>
      <c r="AQ71" s="504"/>
      <c r="AR71" s="492"/>
      <c r="AS71" s="493"/>
      <c r="AT71" s="493"/>
      <c r="AU71" s="493"/>
      <c r="AV71" s="493"/>
      <c r="AW71" s="493"/>
      <c r="AX71" s="493"/>
      <c r="AY71" s="494"/>
      <c r="AZ71" s="96"/>
      <c r="BA71" s="9"/>
      <c r="BB71" s="9"/>
      <c r="BC71" s="126"/>
      <c r="BD71" s="126"/>
      <c r="BE71" s="126"/>
      <c r="BF71" s="129"/>
      <c r="BG71" s="129"/>
      <c r="BH71" s="129"/>
      <c r="BI71" s="129"/>
      <c r="BJ71" s="126"/>
      <c r="BK71" s="125"/>
      <c r="BL71" s="21"/>
      <c r="BM71" s="127"/>
      <c r="BN71" s="515"/>
      <c r="BO71" s="516"/>
      <c r="BP71" s="517"/>
      <c r="BQ71" s="107"/>
      <c r="BR71" s="108"/>
      <c r="BS71" s="114"/>
      <c r="BT71" s="37"/>
      <c r="BU71" s="115"/>
      <c r="BV71" s="239"/>
      <c r="BW71" s="505"/>
      <c r="BX71" s="506"/>
      <c r="BY71" s="506"/>
      <c r="BZ71" s="507"/>
      <c r="CA71" s="257"/>
      <c r="CB71" s="94"/>
      <c r="CC71" s="495"/>
      <c r="CD71" s="94"/>
      <c r="CE71" s="95"/>
      <c r="CF71" s="52"/>
    </row>
    <row r="72" spans="1:99" ht="15" thickBot="1" x14ac:dyDescent="0.35">
      <c r="A72" s="372" t="s">
        <v>31</v>
      </c>
      <c r="B72" s="910"/>
      <c r="C72" s="911"/>
      <c r="D72" s="911"/>
      <c r="E72" s="911"/>
      <c r="F72" s="911"/>
      <c r="G72" s="911"/>
      <c r="H72" s="912"/>
      <c r="I72" s="47"/>
      <c r="J72" s="47"/>
      <c r="K72" s="47"/>
      <c r="L72" s="47"/>
      <c r="M72" s="47"/>
      <c r="N72" s="48"/>
      <c r="O72" s="48"/>
      <c r="P72" s="48"/>
      <c r="Q72" s="49"/>
      <c r="R72" s="140"/>
      <c r="S72" s="231">
        <f>SUM(S15:S71)</f>
        <v>0</v>
      </c>
      <c r="T72" s="547">
        <f t="shared" ref="T72:AS72" si="1">SUM(T15:T71)</f>
        <v>0</v>
      </c>
      <c r="U72" s="547">
        <f t="shared" si="1"/>
        <v>0</v>
      </c>
      <c r="V72" s="547">
        <f t="shared" si="1"/>
        <v>0</v>
      </c>
      <c r="W72" s="547">
        <f t="shared" si="1"/>
        <v>0</v>
      </c>
      <c r="X72" s="547">
        <f t="shared" si="1"/>
        <v>0</v>
      </c>
      <c r="Y72" s="547">
        <f t="shared" si="1"/>
        <v>0</v>
      </c>
      <c r="Z72" s="548">
        <f t="shared" si="1"/>
        <v>0</v>
      </c>
      <c r="AA72" s="231">
        <f t="shared" si="1"/>
        <v>0</v>
      </c>
      <c r="AB72" s="547">
        <f t="shared" si="1"/>
        <v>0</v>
      </c>
      <c r="AC72" s="547">
        <f t="shared" si="1"/>
        <v>0</v>
      </c>
      <c r="AD72" s="547">
        <f t="shared" si="1"/>
        <v>0</v>
      </c>
      <c r="AE72" s="547">
        <f t="shared" si="1"/>
        <v>0</v>
      </c>
      <c r="AF72" s="547">
        <f t="shared" si="1"/>
        <v>0</v>
      </c>
      <c r="AG72" s="547">
        <f t="shared" si="1"/>
        <v>0</v>
      </c>
      <c r="AH72" s="547">
        <f t="shared" si="1"/>
        <v>0</v>
      </c>
      <c r="AI72" s="50">
        <f t="shared" si="1"/>
        <v>0</v>
      </c>
      <c r="AJ72" s="576">
        <f t="shared" si="1"/>
        <v>0</v>
      </c>
      <c r="AK72" s="577">
        <f t="shared" si="1"/>
        <v>0</v>
      </c>
      <c r="AL72" s="577">
        <f t="shared" si="1"/>
        <v>0</v>
      </c>
      <c r="AM72" s="577">
        <f t="shared" si="1"/>
        <v>0</v>
      </c>
      <c r="AN72" s="577">
        <f t="shared" si="1"/>
        <v>0</v>
      </c>
      <c r="AO72" s="577">
        <f t="shared" si="1"/>
        <v>0</v>
      </c>
      <c r="AP72" s="577">
        <f t="shared" si="1"/>
        <v>0</v>
      </c>
      <c r="AQ72" s="578">
        <f t="shared" si="1"/>
        <v>0</v>
      </c>
      <c r="AR72" s="231">
        <f t="shared" si="1"/>
        <v>0</v>
      </c>
      <c r="AS72" s="547">
        <f t="shared" si="1"/>
        <v>0</v>
      </c>
      <c r="AT72" s="98"/>
      <c r="AU72" s="547">
        <f t="shared" ref="AU72:AX72" si="2">SUM(AU15:AU71)</f>
        <v>0</v>
      </c>
      <c r="AV72" s="547">
        <f t="shared" si="2"/>
        <v>0</v>
      </c>
      <c r="AW72" s="547">
        <f t="shared" si="2"/>
        <v>0</v>
      </c>
      <c r="AX72" s="547">
        <f t="shared" si="2"/>
        <v>0</v>
      </c>
      <c r="AY72" s="98"/>
      <c r="AZ72" s="231">
        <f t="shared" ref="AZ72:BE72" si="3">SUM(AZ15:AZ71)</f>
        <v>0</v>
      </c>
      <c r="BA72" s="547">
        <f t="shared" si="3"/>
        <v>0</v>
      </c>
      <c r="BB72" s="547">
        <f t="shared" si="3"/>
        <v>0</v>
      </c>
      <c r="BC72" s="547">
        <f t="shared" si="3"/>
        <v>0</v>
      </c>
      <c r="BD72" s="547">
        <f t="shared" si="3"/>
        <v>0</v>
      </c>
      <c r="BE72" s="547">
        <f t="shared" si="3"/>
        <v>0</v>
      </c>
      <c r="BF72" s="98"/>
      <c r="BG72" s="98"/>
      <c r="BH72" s="547">
        <f t="shared" ref="BH72:BK72" si="4">SUM(BH15:BH71)</f>
        <v>0</v>
      </c>
      <c r="BI72" s="547">
        <f t="shared" si="4"/>
        <v>0</v>
      </c>
      <c r="BJ72" s="547">
        <f t="shared" si="4"/>
        <v>0</v>
      </c>
      <c r="BK72" s="548">
        <f t="shared" si="4"/>
        <v>0</v>
      </c>
      <c r="BL72" s="80"/>
      <c r="BM72" s="79"/>
      <c r="BN72" s="80"/>
      <c r="BO72" s="97"/>
      <c r="BP72" s="548">
        <f t="shared" ref="BP72:BQ72" si="5">SUM(BP15:BP71)</f>
        <v>0</v>
      </c>
      <c r="BQ72" s="231">
        <f t="shared" si="5"/>
        <v>0</v>
      </c>
      <c r="BR72" s="79"/>
      <c r="BS72" s="80"/>
      <c r="BT72" s="79"/>
      <c r="BU72" s="79"/>
      <c r="BV72" s="79"/>
      <c r="BW72" s="80"/>
      <c r="BX72" s="79"/>
      <c r="BY72" s="79"/>
      <c r="BZ72" s="51"/>
      <c r="CA72" s="85"/>
      <c r="CB72" s="231" t="e">
        <f>SUM(#REF!)</f>
        <v>#REF!</v>
      </c>
      <c r="CC72" s="548" t="e">
        <f>SUM(#REF!)</f>
        <v>#REF!</v>
      </c>
      <c r="CD72" s="231" t="e">
        <f>SUM(#REF!)</f>
        <v>#REF!</v>
      </c>
      <c r="CE72" s="548" t="e">
        <f>SUM(#REF!)</f>
        <v>#REF!</v>
      </c>
      <c r="CF72" s="539" t="e">
        <f>SUM(#REF!)</f>
        <v>#REF!</v>
      </c>
    </row>
    <row r="73" spans="1:99" x14ac:dyDescent="0.3">
      <c r="B73" s="6"/>
      <c r="C73" s="6"/>
      <c r="D73" s="7"/>
      <c r="E73" s="7"/>
      <c r="F73" s="124"/>
      <c r="G73" s="124"/>
      <c r="H73" s="7"/>
      <c r="I73" s="124"/>
      <c r="J73" s="124"/>
      <c r="K73" s="124"/>
      <c r="L73" s="124"/>
      <c r="M73" s="124"/>
      <c r="N73" s="580">
        <f>SUM(N15:N71)</f>
        <v>0</v>
      </c>
      <c r="P73" s="581">
        <f>SUM(P15:P70)</f>
        <v>0</v>
      </c>
      <c r="Q73" s="4"/>
      <c r="R73" s="4"/>
      <c r="S73" s="7"/>
      <c r="T73" s="7"/>
      <c r="U73" s="7"/>
      <c r="V73" s="7"/>
      <c r="W73" s="7"/>
      <c r="X73" s="7"/>
      <c r="Y73" s="7"/>
      <c r="Z73" s="7"/>
      <c r="AA73" s="7"/>
      <c r="AB73" s="7"/>
      <c r="AC73" s="7"/>
      <c r="AD73" s="7"/>
      <c r="AE73" s="7"/>
      <c r="AF73" s="7"/>
      <c r="AG73" s="7"/>
      <c r="AH73" s="7"/>
      <c r="AI73" s="7"/>
      <c r="AJ73" s="6"/>
      <c r="AK73" s="6"/>
      <c r="AL73" s="6"/>
      <c r="AM73" s="6"/>
      <c r="AN73" s="6"/>
      <c r="AO73" s="6"/>
      <c r="AP73" s="6"/>
      <c r="AQ73" s="6"/>
      <c r="AR73" s="6"/>
      <c r="AS73" s="6"/>
      <c r="AT73" s="6"/>
      <c r="AU73" s="6"/>
      <c r="AV73" s="6"/>
      <c r="AW73" s="6"/>
      <c r="AX73" s="6"/>
      <c r="AY73" s="6"/>
    </row>
    <row r="74" spans="1:99" x14ac:dyDescent="0.3">
      <c r="B74" s="6"/>
      <c r="C74" s="6"/>
      <c r="D74" s="7"/>
      <c r="E74" s="7"/>
      <c r="F74" s="124"/>
      <c r="G74" s="124"/>
      <c r="H74" s="7"/>
      <c r="I74" s="124"/>
      <c r="J74" s="124"/>
      <c r="K74" s="124"/>
      <c r="L74" s="124"/>
      <c r="M74" s="124"/>
      <c r="Q74" s="4"/>
      <c r="R74" s="4"/>
      <c r="S74" s="7"/>
      <c r="T74" s="7"/>
      <c r="U74" s="7"/>
      <c r="V74" s="7"/>
      <c r="W74" s="7"/>
      <c r="X74" s="7"/>
      <c r="Y74" s="7"/>
      <c r="Z74" s="7"/>
      <c r="AA74" s="7"/>
      <c r="AB74" s="7"/>
      <c r="AC74" s="7"/>
      <c r="AD74" s="7"/>
      <c r="AE74" s="7"/>
      <c r="AF74" s="7"/>
      <c r="AG74" s="7"/>
      <c r="AH74" s="7"/>
      <c r="AI74" s="7"/>
      <c r="AJ74" s="6"/>
      <c r="AK74" s="6"/>
      <c r="AL74" s="6"/>
      <c r="AM74" s="6"/>
      <c r="AN74" s="6"/>
      <c r="AO74" s="6"/>
      <c r="AP74" s="6"/>
      <c r="AQ74" s="6"/>
      <c r="AR74" s="6"/>
      <c r="AS74" s="6"/>
      <c r="AT74" s="6"/>
      <c r="AU74" s="6"/>
      <c r="AV74" s="6"/>
      <c r="AW74" s="6"/>
      <c r="AX74" s="6"/>
      <c r="AY74" s="6"/>
    </row>
    <row r="75" spans="1:99" x14ac:dyDescent="0.3">
      <c r="A75" s="150" t="s">
        <v>32</v>
      </c>
      <c r="B75" s="152"/>
      <c r="C75" s="151"/>
      <c r="D75" s="152"/>
      <c r="E75" s="152"/>
      <c r="F75" s="152"/>
      <c r="G75" s="152"/>
      <c r="H75" s="152"/>
      <c r="I75" s="152"/>
      <c r="J75" s="152"/>
      <c r="K75" s="152"/>
      <c r="L75" s="152"/>
      <c r="M75" s="152"/>
      <c r="N75" s="152"/>
      <c r="O75" s="152"/>
      <c r="P75" s="152"/>
      <c r="Q75" s="152"/>
      <c r="R75" s="152"/>
      <c r="S75" s="153"/>
      <c r="T75" s="218"/>
      <c r="U75" s="218"/>
      <c r="V75" s="218"/>
      <c r="BD75" s="340"/>
      <c r="BE75" s="340"/>
      <c r="BF75" s="72"/>
      <c r="BG75" s="72"/>
      <c r="BH75" s="340"/>
      <c r="BI75" s="340"/>
      <c r="BL75" s="886"/>
      <c r="BM75" s="886"/>
      <c r="BN75" s="886"/>
      <c r="BO75" s="886"/>
      <c r="BP75" s="886"/>
      <c r="BQ75" s="886"/>
      <c r="BR75" s="886"/>
      <c r="CC75" s="116"/>
      <c r="CD75" s="112"/>
      <c r="CE75" s="112"/>
      <c r="CF75" s="112"/>
      <c r="CG75" s="112"/>
      <c r="CH75" s="131"/>
      <c r="CI75" s="116"/>
      <c r="CJ75" s="116"/>
      <c r="CK75" s="116"/>
      <c r="CL75" s="116"/>
      <c r="CM75" s="116"/>
      <c r="CN75" s="116"/>
      <c r="CO75" s="116"/>
      <c r="CP75" s="116"/>
      <c r="CQ75" s="116"/>
      <c r="CR75" s="116"/>
      <c r="CS75" s="116"/>
      <c r="CT75" s="116"/>
      <c r="CU75" s="132"/>
    </row>
    <row r="76" spans="1:99" x14ac:dyDescent="0.3">
      <c r="A76" s="350" t="s">
        <v>33</v>
      </c>
      <c r="B76" s="158"/>
      <c r="C76" s="155"/>
      <c r="D76" s="158"/>
      <c r="E76" s="158"/>
      <c r="F76" s="158"/>
      <c r="G76" s="158"/>
      <c r="H76" s="158"/>
      <c r="I76" s="158"/>
      <c r="J76" s="158"/>
      <c r="K76" s="158"/>
      <c r="L76" s="158"/>
      <c r="M76" s="158"/>
      <c r="N76" s="158"/>
      <c r="O76" s="158"/>
      <c r="P76" s="158"/>
      <c r="Q76" s="158"/>
      <c r="R76" s="158"/>
      <c r="S76" s="156"/>
      <c r="T76" s="218"/>
      <c r="U76" s="218"/>
      <c r="V76" s="218"/>
      <c r="BL76" s="540"/>
      <c r="BM76" s="540"/>
      <c r="BN76" s="540"/>
      <c r="BO76" s="540"/>
      <c r="BP76" s="540"/>
      <c r="BQ76" s="540"/>
      <c r="BR76" s="540"/>
      <c r="CC76" s="116"/>
      <c r="CD76" s="112"/>
      <c r="CE76" s="112"/>
      <c r="CF76" s="112"/>
      <c r="CG76" s="112"/>
      <c r="CH76" s="131"/>
      <c r="CI76" s="116"/>
      <c r="CJ76" s="116"/>
      <c r="CK76" s="116"/>
      <c r="CL76" s="116"/>
      <c r="CM76" s="116"/>
      <c r="CN76" s="116"/>
      <c r="CO76" s="116"/>
      <c r="CP76" s="116"/>
      <c r="CQ76" s="116"/>
      <c r="CR76" s="116"/>
      <c r="CS76" s="116"/>
      <c r="CT76" s="116"/>
      <c r="CU76" s="132"/>
    </row>
    <row r="77" spans="1:99" x14ac:dyDescent="0.3">
      <c r="A77" s="154" t="s">
        <v>53</v>
      </c>
      <c r="B77" s="158"/>
      <c r="C77" s="155"/>
      <c r="D77" s="158"/>
      <c r="E77" s="158"/>
      <c r="F77" s="158"/>
      <c r="G77" s="158"/>
      <c r="H77" s="158"/>
      <c r="I77" s="158"/>
      <c r="J77" s="158"/>
      <c r="K77" s="158"/>
      <c r="L77" s="158"/>
      <c r="M77" s="158"/>
      <c r="N77" s="158"/>
      <c r="O77" s="158"/>
      <c r="P77" s="158"/>
      <c r="Q77" s="158"/>
      <c r="R77" s="158"/>
      <c r="S77" s="156"/>
      <c r="T77" s="218"/>
      <c r="U77" s="218"/>
      <c r="V77" s="218"/>
      <c r="BL77" s="99"/>
      <c r="BM77" s="99"/>
      <c r="BN77" s="99"/>
      <c r="BO77" s="99"/>
      <c r="BP77" s="99"/>
      <c r="BQ77" s="99"/>
      <c r="BR77" s="99"/>
      <c r="CC77" s="135"/>
      <c r="CD77" s="133"/>
      <c r="CE77" s="133"/>
      <c r="CF77" s="133"/>
      <c r="CG77" s="133"/>
      <c r="CH77" s="133"/>
      <c r="CI77" s="133"/>
      <c r="CJ77" s="133"/>
      <c r="CK77" s="133"/>
      <c r="CL77" s="133"/>
      <c r="CM77" s="133"/>
      <c r="CN77" s="133"/>
      <c r="CO77" s="133"/>
      <c r="CP77" s="133"/>
      <c r="CQ77" s="133"/>
      <c r="CR77" s="133"/>
      <c r="CS77" s="133"/>
      <c r="CT77" s="133"/>
      <c r="CU77" s="134"/>
    </row>
    <row r="78" spans="1:99" ht="15" customHeight="1" x14ac:dyDescent="0.3">
      <c r="A78" s="164" t="s">
        <v>148</v>
      </c>
      <c r="B78" s="158"/>
      <c r="C78" s="142"/>
      <c r="D78" s="142"/>
      <c r="E78" s="142"/>
      <c r="F78" s="142"/>
      <c r="G78" s="142"/>
      <c r="H78" s="142"/>
      <c r="I78" s="142"/>
      <c r="J78" s="142"/>
      <c r="K78" s="142"/>
      <c r="L78" s="142"/>
      <c r="M78" s="142"/>
      <c r="N78" s="142"/>
      <c r="O78" s="142"/>
      <c r="P78" s="142"/>
      <c r="Q78" s="142"/>
      <c r="R78" s="142"/>
      <c r="S78" s="156"/>
      <c r="T78" s="218"/>
      <c r="U78" s="218"/>
      <c r="V78" s="218"/>
      <c r="BN78" s="111"/>
      <c r="BO78" s="111"/>
      <c r="BP78" s="111"/>
      <c r="BQ78" s="111"/>
      <c r="BR78" s="111"/>
      <c r="BS78" s="111"/>
      <c r="BT78" s="111"/>
      <c r="BU78" s="70"/>
      <c r="BV78" s="70"/>
    </row>
    <row r="79" spans="1:99" ht="15" customHeight="1" x14ac:dyDescent="0.3">
      <c r="A79" s="164" t="s">
        <v>149</v>
      </c>
      <c r="B79" s="158"/>
      <c r="C79" s="142"/>
      <c r="D79" s="142"/>
      <c r="E79" s="142"/>
      <c r="F79" s="142"/>
      <c r="G79" s="142"/>
      <c r="H79" s="142"/>
      <c r="I79" s="142"/>
      <c r="J79" s="142"/>
      <c r="K79" s="142"/>
      <c r="L79" s="142"/>
      <c r="M79" s="142"/>
      <c r="N79" s="142"/>
      <c r="O79" s="142"/>
      <c r="P79" s="142"/>
      <c r="Q79" s="142"/>
      <c r="R79" s="142"/>
      <c r="S79" s="156"/>
      <c r="T79" s="218"/>
      <c r="U79" s="218"/>
      <c r="V79" s="218"/>
      <c r="BN79" s="111"/>
      <c r="BO79" s="111"/>
      <c r="BP79" s="111"/>
      <c r="BQ79" s="111"/>
      <c r="BR79" s="111"/>
      <c r="BS79" s="111"/>
      <c r="BT79" s="111"/>
      <c r="BU79" s="70"/>
      <c r="BV79" s="70"/>
    </row>
    <row r="80" spans="1:99" ht="15" customHeight="1" x14ac:dyDescent="0.3">
      <c r="A80" s="164" t="s">
        <v>150</v>
      </c>
      <c r="B80" s="158"/>
      <c r="C80" s="142"/>
      <c r="D80" s="142"/>
      <c r="E80" s="142"/>
      <c r="F80" s="142"/>
      <c r="G80" s="142"/>
      <c r="H80" s="142"/>
      <c r="I80" s="142"/>
      <c r="J80" s="142"/>
      <c r="K80" s="142"/>
      <c r="L80" s="142"/>
      <c r="M80" s="142"/>
      <c r="N80" s="142"/>
      <c r="O80" s="142"/>
      <c r="P80" s="142"/>
      <c r="Q80" s="141"/>
      <c r="R80" s="141"/>
      <c r="S80" s="156"/>
      <c r="T80" s="218"/>
      <c r="U80" s="218"/>
      <c r="V80" s="218"/>
      <c r="BN80" s="111"/>
      <c r="BO80" s="111"/>
      <c r="BP80" s="111"/>
      <c r="BQ80" s="111"/>
      <c r="BR80" s="111"/>
      <c r="BS80" s="111"/>
      <c r="BT80" s="111"/>
      <c r="BU80" s="70"/>
      <c r="BV80" s="70"/>
    </row>
    <row r="81" spans="1:83" x14ac:dyDescent="0.3">
      <c r="A81" s="154" t="s">
        <v>54</v>
      </c>
      <c r="B81" s="158"/>
      <c r="C81" s="155"/>
      <c r="D81" s="158"/>
      <c r="E81" s="158"/>
      <c r="F81" s="158"/>
      <c r="G81" s="158"/>
      <c r="H81" s="158"/>
      <c r="I81" s="158"/>
      <c r="J81" s="158"/>
      <c r="K81" s="158"/>
      <c r="L81" s="158"/>
      <c r="M81" s="158"/>
      <c r="N81" s="158"/>
      <c r="O81" s="158"/>
      <c r="P81" s="158"/>
      <c r="Q81" s="158"/>
      <c r="R81" s="158"/>
      <c r="S81" s="156"/>
      <c r="T81" s="218"/>
      <c r="U81" s="218"/>
      <c r="V81" s="218"/>
      <c r="AP81" s="71"/>
      <c r="AQ81" s="71"/>
      <c r="AR81" s="71"/>
      <c r="AS81" s="71"/>
      <c r="AT81" s="71"/>
      <c r="AU81" s="71"/>
      <c r="AV81" s="71"/>
      <c r="AW81" s="71"/>
      <c r="AX81" s="71"/>
      <c r="AY81" s="71"/>
      <c r="AZ81" s="82"/>
      <c r="BN81" s="70"/>
      <c r="BO81" s="70"/>
      <c r="BP81" s="70"/>
      <c r="BQ81" s="70"/>
      <c r="BR81" s="886"/>
      <c r="BS81" s="886"/>
      <c r="BT81" s="886"/>
      <c r="BU81" s="886"/>
      <c r="BV81" s="886"/>
      <c r="BW81" s="99"/>
      <c r="BX81" s="99"/>
      <c r="CA81" s="71"/>
      <c r="CB81" s="71"/>
      <c r="CC81" s="71"/>
      <c r="CD81" s="71"/>
      <c r="CE81" s="71"/>
    </row>
    <row r="82" spans="1:83" x14ac:dyDescent="0.3">
      <c r="A82" s="164" t="s">
        <v>151</v>
      </c>
      <c r="B82" s="158"/>
      <c r="C82" s="160"/>
      <c r="D82" s="160"/>
      <c r="E82" s="160"/>
      <c r="F82" s="160"/>
      <c r="G82" s="160"/>
      <c r="H82" s="160"/>
      <c r="I82" s="160"/>
      <c r="J82" s="160"/>
      <c r="K82" s="160"/>
      <c r="L82" s="160"/>
      <c r="M82" s="160"/>
      <c r="N82" s="160"/>
      <c r="O82" s="160"/>
      <c r="P82" s="160"/>
      <c r="Q82" s="160"/>
      <c r="R82" s="160"/>
      <c r="S82" s="156"/>
      <c r="T82" s="218"/>
      <c r="U82" s="218"/>
      <c r="V82" s="218"/>
    </row>
    <row r="83" spans="1:83" x14ac:dyDescent="0.3">
      <c r="A83" s="154" t="s">
        <v>152</v>
      </c>
      <c r="B83" s="158"/>
      <c r="C83" s="155"/>
      <c r="D83" s="158"/>
      <c r="E83" s="158"/>
      <c r="F83" s="158"/>
      <c r="G83" s="158"/>
      <c r="H83" s="158"/>
      <c r="I83" s="158"/>
      <c r="J83" s="158"/>
      <c r="K83" s="158"/>
      <c r="L83" s="158"/>
      <c r="M83" s="158"/>
      <c r="N83" s="158"/>
      <c r="O83" s="158"/>
      <c r="P83" s="158"/>
      <c r="Q83" s="158"/>
      <c r="R83" s="158"/>
      <c r="S83" s="156"/>
      <c r="T83" s="218"/>
      <c r="U83" s="218"/>
      <c r="V83" s="218"/>
    </row>
    <row r="84" spans="1:83" ht="15" customHeight="1" x14ac:dyDescent="0.3">
      <c r="A84" s="164" t="s">
        <v>153</v>
      </c>
      <c r="B84" s="158"/>
      <c r="C84" s="142"/>
      <c r="D84" s="142"/>
      <c r="E84" s="142"/>
      <c r="F84" s="142"/>
      <c r="G84" s="142"/>
      <c r="H84" s="142"/>
      <c r="I84" s="142"/>
      <c r="J84" s="142"/>
      <c r="K84" s="142"/>
      <c r="L84" s="142"/>
      <c r="M84" s="142"/>
      <c r="N84" s="142"/>
      <c r="O84" s="142"/>
      <c r="P84" s="142"/>
      <c r="Q84" s="142"/>
      <c r="R84" s="142"/>
      <c r="S84" s="156"/>
      <c r="T84" s="218"/>
      <c r="U84" s="218"/>
      <c r="V84" s="218"/>
    </row>
    <row r="85" spans="1:83" x14ac:dyDescent="0.3">
      <c r="A85" s="164" t="s">
        <v>154</v>
      </c>
      <c r="B85" s="158"/>
      <c r="C85" s="160"/>
      <c r="D85" s="160"/>
      <c r="E85" s="160"/>
      <c r="F85" s="160"/>
      <c r="G85" s="160"/>
      <c r="H85" s="160"/>
      <c r="I85" s="160"/>
      <c r="J85" s="160"/>
      <c r="K85" s="160"/>
      <c r="L85" s="160"/>
      <c r="M85" s="160"/>
      <c r="N85" s="160"/>
      <c r="O85" s="160"/>
      <c r="P85" s="160"/>
      <c r="Q85" s="160"/>
      <c r="R85" s="160"/>
      <c r="S85" s="156"/>
      <c r="T85" s="218"/>
      <c r="U85" s="218"/>
      <c r="V85" s="218"/>
    </row>
    <row r="86" spans="1:83" s="136" customFormat="1" x14ac:dyDescent="0.3">
      <c r="A86" s="154" t="s">
        <v>155</v>
      </c>
      <c r="B86" s="159"/>
      <c r="C86" s="155"/>
      <c r="D86" s="159"/>
      <c r="E86" s="159"/>
      <c r="F86" s="159"/>
      <c r="G86" s="159"/>
      <c r="H86" s="159"/>
      <c r="I86" s="159"/>
      <c r="J86" s="159"/>
      <c r="K86" s="159"/>
      <c r="L86" s="159"/>
      <c r="M86" s="159"/>
      <c r="N86" s="159"/>
      <c r="O86" s="159"/>
      <c r="P86" s="159"/>
      <c r="Q86" s="159"/>
      <c r="R86" s="159"/>
      <c r="S86" s="165"/>
      <c r="T86" s="351"/>
      <c r="U86" s="351"/>
      <c r="V86" s="351"/>
      <c r="AZ86" s="83"/>
    </row>
    <row r="87" spans="1:83" s="136" customFormat="1" x14ac:dyDescent="0.3">
      <c r="A87" s="164" t="s">
        <v>156</v>
      </c>
      <c r="B87" s="159"/>
      <c r="C87" s="142"/>
      <c r="D87" s="142"/>
      <c r="E87" s="142"/>
      <c r="F87" s="142"/>
      <c r="G87" s="142"/>
      <c r="H87" s="142"/>
      <c r="I87" s="142"/>
      <c r="J87" s="142"/>
      <c r="K87" s="142"/>
      <c r="L87" s="142"/>
      <c r="M87" s="142"/>
      <c r="N87" s="142"/>
      <c r="O87" s="142"/>
      <c r="P87" s="142"/>
      <c r="Q87" s="142"/>
      <c r="R87" s="142"/>
      <c r="S87" s="165"/>
      <c r="T87" s="351"/>
      <c r="U87" s="351"/>
      <c r="V87" s="351"/>
      <c r="AZ87" s="83"/>
    </row>
    <row r="88" spans="1:83" x14ac:dyDescent="0.3">
      <c r="A88" s="154" t="s">
        <v>157</v>
      </c>
      <c r="B88" s="158"/>
      <c r="C88" s="155"/>
      <c r="D88" s="158"/>
      <c r="E88" s="158"/>
      <c r="F88" s="158"/>
      <c r="G88" s="158"/>
      <c r="H88" s="158"/>
      <c r="I88" s="158"/>
      <c r="J88" s="158"/>
      <c r="K88" s="158"/>
      <c r="L88" s="158"/>
      <c r="M88" s="158"/>
      <c r="N88" s="158"/>
      <c r="O88" s="158"/>
      <c r="P88" s="158"/>
      <c r="Q88" s="158"/>
      <c r="R88" s="158"/>
      <c r="S88" s="156"/>
      <c r="T88" s="218"/>
      <c r="U88" s="218"/>
      <c r="V88" s="218"/>
    </row>
    <row r="89" spans="1:83" ht="15" customHeight="1" x14ac:dyDescent="0.3">
      <c r="A89" s="164" t="s">
        <v>158</v>
      </c>
      <c r="B89" s="158"/>
      <c r="C89" s="142"/>
      <c r="D89" s="142"/>
      <c r="E89" s="142"/>
      <c r="F89" s="142"/>
      <c r="G89" s="142"/>
      <c r="H89" s="142"/>
      <c r="I89" s="142"/>
      <c r="J89" s="142"/>
      <c r="K89" s="142"/>
      <c r="L89" s="142"/>
      <c r="M89" s="142"/>
      <c r="N89" s="142"/>
      <c r="O89" s="142"/>
      <c r="P89" s="142"/>
      <c r="Q89" s="142"/>
      <c r="R89" s="142"/>
      <c r="S89" s="156"/>
      <c r="T89" s="218"/>
      <c r="U89" s="218"/>
      <c r="V89" s="218"/>
    </row>
    <row r="90" spans="1:83" ht="15" customHeight="1" x14ac:dyDescent="0.3">
      <c r="A90" s="164" t="s">
        <v>159</v>
      </c>
      <c r="B90" s="158"/>
      <c r="C90" s="142"/>
      <c r="D90" s="142"/>
      <c r="E90" s="142"/>
      <c r="F90" s="142"/>
      <c r="G90" s="142"/>
      <c r="H90" s="142"/>
      <c r="I90" s="142"/>
      <c r="J90" s="142"/>
      <c r="K90" s="142"/>
      <c r="L90" s="142"/>
      <c r="M90" s="142"/>
      <c r="N90" s="142"/>
      <c r="O90" s="142"/>
      <c r="P90" s="142"/>
      <c r="Q90" s="142"/>
      <c r="R90" s="142"/>
      <c r="S90" s="156"/>
      <c r="T90" s="218"/>
      <c r="U90" s="218"/>
      <c r="V90" s="218"/>
    </row>
    <row r="91" spans="1:83" ht="15" customHeight="1" x14ac:dyDescent="0.3">
      <c r="A91" s="164" t="s">
        <v>160</v>
      </c>
      <c r="B91" s="158"/>
      <c r="C91" s="142"/>
      <c r="D91" s="142"/>
      <c r="E91" s="142"/>
      <c r="F91" s="142"/>
      <c r="G91" s="142"/>
      <c r="H91" s="142"/>
      <c r="I91" s="142"/>
      <c r="J91" s="142"/>
      <c r="K91" s="142"/>
      <c r="L91" s="142"/>
      <c r="M91" s="142"/>
      <c r="N91" s="142"/>
      <c r="O91" s="142"/>
      <c r="P91" s="142"/>
      <c r="Q91" s="142"/>
      <c r="R91" s="142"/>
      <c r="S91" s="156"/>
      <c r="T91" s="218"/>
      <c r="U91" s="218"/>
      <c r="V91" s="218"/>
    </row>
    <row r="92" spans="1:83" ht="15" customHeight="1" x14ac:dyDescent="0.3">
      <c r="A92" s="166" t="s">
        <v>161</v>
      </c>
      <c r="B92" s="158"/>
      <c r="C92" s="161"/>
      <c r="D92" s="161"/>
      <c r="E92" s="161"/>
      <c r="F92" s="161"/>
      <c r="G92" s="161"/>
      <c r="H92" s="161"/>
      <c r="I92" s="161"/>
      <c r="J92" s="161"/>
      <c r="K92" s="161"/>
      <c r="L92" s="161"/>
      <c r="M92" s="161"/>
      <c r="N92" s="161"/>
      <c r="O92" s="161"/>
      <c r="P92" s="161"/>
      <c r="Q92" s="161"/>
      <c r="R92" s="161"/>
      <c r="S92" s="156"/>
      <c r="T92" s="218"/>
      <c r="U92" s="218"/>
      <c r="V92" s="218"/>
    </row>
    <row r="93" spans="1:83" x14ac:dyDescent="0.3">
      <c r="A93" s="157" t="s">
        <v>162</v>
      </c>
      <c r="B93" s="158"/>
      <c r="C93" s="155"/>
      <c r="D93" s="158"/>
      <c r="E93" s="158"/>
      <c r="F93" s="158"/>
      <c r="G93" s="158"/>
      <c r="H93" s="158"/>
      <c r="I93" s="158"/>
      <c r="J93" s="158"/>
      <c r="K93" s="158"/>
      <c r="L93" s="158"/>
      <c r="M93" s="158"/>
      <c r="N93" s="158"/>
      <c r="O93" s="158"/>
      <c r="P93" s="158"/>
      <c r="Q93" s="158"/>
      <c r="R93" s="158"/>
      <c r="S93" s="156"/>
      <c r="T93" s="218"/>
      <c r="U93" s="218"/>
      <c r="V93" s="218"/>
    </row>
    <row r="94" spans="1:83" x14ac:dyDescent="0.3">
      <c r="A94" s="166" t="s">
        <v>163</v>
      </c>
      <c r="B94" s="158"/>
      <c r="C94" s="161"/>
      <c r="D94" s="161"/>
      <c r="E94" s="161"/>
      <c r="F94" s="161"/>
      <c r="G94" s="161"/>
      <c r="H94" s="161"/>
      <c r="I94" s="161"/>
      <c r="J94" s="161"/>
      <c r="K94" s="161"/>
      <c r="L94" s="161"/>
      <c r="M94" s="161"/>
      <c r="N94" s="161"/>
      <c r="O94" s="161"/>
      <c r="P94" s="161"/>
      <c r="Q94" s="161"/>
      <c r="R94" s="161"/>
      <c r="S94" s="156"/>
      <c r="T94" s="218"/>
      <c r="U94" s="218"/>
      <c r="V94" s="218"/>
    </row>
    <row r="95" spans="1:83" x14ac:dyDescent="0.3">
      <c r="A95" s="166" t="s">
        <v>164</v>
      </c>
      <c r="B95" s="158"/>
      <c r="C95" s="162"/>
      <c r="D95" s="162"/>
      <c r="E95" s="162"/>
      <c r="F95" s="162"/>
      <c r="G95" s="162"/>
      <c r="H95" s="162"/>
      <c r="I95" s="162"/>
      <c r="J95" s="162"/>
      <c r="K95" s="162"/>
      <c r="L95" s="162"/>
      <c r="M95" s="162"/>
      <c r="N95" s="162"/>
      <c r="O95" s="162"/>
      <c r="P95" s="162"/>
      <c r="Q95" s="162"/>
      <c r="R95" s="162"/>
      <c r="S95" s="156"/>
      <c r="T95" s="218"/>
      <c r="U95" s="218"/>
      <c r="V95" s="218"/>
    </row>
    <row r="96" spans="1:83" x14ac:dyDescent="0.3">
      <c r="A96" s="167" t="s">
        <v>165</v>
      </c>
      <c r="B96" s="168"/>
      <c r="C96" s="144"/>
      <c r="D96" s="144"/>
      <c r="E96" s="144"/>
      <c r="F96" s="144"/>
      <c r="G96" s="144"/>
      <c r="H96" s="144"/>
      <c r="I96" s="144"/>
      <c r="J96" s="144"/>
      <c r="K96" s="144"/>
      <c r="L96" s="144"/>
      <c r="M96" s="144"/>
      <c r="N96" s="144"/>
      <c r="O96" s="144"/>
      <c r="P96" s="144"/>
      <c r="Q96" s="144"/>
      <c r="R96" s="144"/>
      <c r="S96" s="169"/>
      <c r="T96" s="218"/>
      <c r="U96" s="218"/>
      <c r="V96" s="218"/>
    </row>
    <row r="97" spans="3:3" x14ac:dyDescent="0.3">
      <c r="C97" s="72"/>
    </row>
  </sheetData>
  <mergeCells count="36">
    <mergeCell ref="B72:H72"/>
    <mergeCell ref="AG13:AH13"/>
    <mergeCell ref="AP13:AQ13"/>
    <mergeCell ref="BS13:BZ13"/>
    <mergeCell ref="S13:T13"/>
    <mergeCell ref="U13:V13"/>
    <mergeCell ref="W13:X13"/>
    <mergeCell ref="Y13:Z13"/>
    <mergeCell ref="AA13:AB13"/>
    <mergeCell ref="AJ13:AK13"/>
    <mergeCell ref="AL13:AM13"/>
    <mergeCell ref="AN13:AO13"/>
    <mergeCell ref="A11:H13"/>
    <mergeCell ref="I11:P13"/>
    <mergeCell ref="Q11:R13"/>
    <mergeCell ref="AZ12:BK13"/>
    <mergeCell ref="BR81:BV81"/>
    <mergeCell ref="CA11:CF11"/>
    <mergeCell ref="BN12:BP13"/>
    <mergeCell ref="BQ12:BR13"/>
    <mergeCell ref="BS12:BZ12"/>
    <mergeCell ref="CA12:CC12"/>
    <mergeCell ref="CD12:CE12"/>
    <mergeCell ref="CF12:CF13"/>
    <mergeCell ref="CB13:CC13"/>
    <mergeCell ref="CD13:CE13"/>
    <mergeCell ref="BL12:BM13"/>
    <mergeCell ref="AR11:AY13"/>
    <mergeCell ref="AZ11:BZ11"/>
    <mergeCell ref="AC13:AD13"/>
    <mergeCell ref="BL75:BR75"/>
    <mergeCell ref="AE13:AF13"/>
    <mergeCell ref="S11:AQ11"/>
    <mergeCell ref="S12:Z12"/>
    <mergeCell ref="AA12:AI12"/>
    <mergeCell ref="AJ12:AQ12"/>
  </mergeCells>
  <printOptions headings="1" gridLines="1"/>
  <pageMargins left="0.7" right="0.7" top="0.75" bottom="0.75" header="0.3" footer="0.3"/>
  <pageSetup scale="1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8023915DC4B145B226F2D6818AE630" ma:contentTypeVersion="3" ma:contentTypeDescription="Create a new document." ma:contentTypeScope="" ma:versionID="01f5fbc78f18e67d1f890c63e230f557">
  <xsd:schema xmlns:xsd="http://www.w3.org/2001/XMLSchema" xmlns:xs="http://www.w3.org/2001/XMLSchema" xmlns:p="http://schemas.microsoft.com/office/2006/metadata/properties" xmlns:ns2="a42f558a-0144-4866-aee3-a1ea5e1f29fe" xmlns:ns3="1ddf8a77-675b-461f-bb9c-e3c43254a7e4" targetNamespace="http://schemas.microsoft.com/office/2006/metadata/properties" ma:root="true" ma:fieldsID="76929f0bc3bdcc9ebbe64c60c94614fb" ns2:_="" ns3:_="">
    <xsd:import namespace="a42f558a-0144-4866-aee3-a1ea5e1f29fe"/>
    <xsd:import namespace="1ddf8a77-675b-461f-bb9c-e3c43254a7e4"/>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2f558a-0144-4866-aee3-a1ea5e1f29fe"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ddf8a77-675b-461f-bb9c-e3c43254a7e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a42f558a-0144-4866-aee3-a1ea5e1f29fe">USHARE-1901736338-1099</_dlc_DocId>
    <_dlc_DocIdUrl xmlns="a42f558a-0144-4866-aee3-a1ea5e1f29fe">
      <Url>https://u-share.unitil.com/Engineering/EngineeringPublic/GridMod/_layouts/15/DocIdRedir.aspx?ID=USHARE-1901736338-1099</Url>
      <Description>USHARE-1901736338-1099</Description>
    </_dlc_DocIdUrl>
  </documentManagement>
</p:properties>
</file>

<file path=customXml/itemProps1.xml><?xml version="1.0" encoding="utf-8"?>
<ds:datastoreItem xmlns:ds="http://schemas.openxmlformats.org/officeDocument/2006/customXml" ds:itemID="{C7ACCCB2-6353-4411-91A3-7DD09419FF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2f558a-0144-4866-aee3-a1ea5e1f29fe"/>
    <ds:schemaRef ds:uri="1ddf8a77-675b-461f-bb9c-e3c43254a7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8FE410-FC32-4010-9C31-E6DF6A93E25D}">
  <ds:schemaRefs>
    <ds:schemaRef ds:uri="http://schemas.microsoft.com/sharepoint/events"/>
  </ds:schemaRefs>
</ds:datastoreItem>
</file>

<file path=customXml/itemProps3.xml><?xml version="1.0" encoding="utf-8"?>
<ds:datastoreItem xmlns:ds="http://schemas.openxmlformats.org/officeDocument/2006/customXml" ds:itemID="{C7AF43BF-74C4-4A6C-84CD-C761E2B29053}">
  <ds:schemaRefs>
    <ds:schemaRef ds:uri="http://schemas.microsoft.com/sharepoint/v3/contenttype/forms"/>
  </ds:schemaRefs>
</ds:datastoreItem>
</file>

<file path=customXml/itemProps4.xml><?xml version="1.0" encoding="utf-8"?>
<ds:datastoreItem xmlns:ds="http://schemas.openxmlformats.org/officeDocument/2006/customXml" ds:itemID="{0C27BA06-5EDE-4710-AAC2-E4B2459B93B0}">
  <ds:schemaRefs>
    <ds:schemaRef ds:uri="http://purl.org/dc/elements/1.1/"/>
    <ds:schemaRef ds:uri="http://schemas.openxmlformats.org/package/2006/metadata/core-properties"/>
    <ds:schemaRef ds:uri="http://schemas.microsoft.com/office/2006/documentManagement/types"/>
    <ds:schemaRef ds:uri="http://purl.org/dc/dcmitype/"/>
    <ds:schemaRef ds:uri="http://www.w3.org/XML/1998/namespace"/>
    <ds:schemaRef ds:uri="http://purl.org/dc/terms/"/>
    <ds:schemaRef ds:uri="http://schemas.microsoft.com/office/infopath/2007/PartnerControls"/>
    <ds:schemaRef ds:uri="1ddf8a77-675b-461f-bb9c-e3c43254a7e4"/>
    <ds:schemaRef ds:uri="a42f558a-0144-4866-aee3-a1ea5e1f29f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8</vt:i4>
      </vt:variant>
    </vt:vector>
  </HeadingPairs>
  <TitlesOfParts>
    <vt:vector size="36" baseType="lpstr">
      <vt:lpstr>1a. Incremental Deployment-2022</vt:lpstr>
      <vt:lpstr>1b. Incremental Deployment-2023</vt:lpstr>
      <vt:lpstr>1c. Incremental Deployment-2024</vt:lpstr>
      <vt:lpstr>1d. Incremental Deployment-2025</vt:lpstr>
      <vt:lpstr>2. Feeder Deployment Cumulative</vt:lpstr>
      <vt:lpstr>3a. Feeder Status-2022</vt:lpstr>
      <vt:lpstr>3b. Feeder Status-2023</vt:lpstr>
      <vt:lpstr>3c. Feeder Status-2024</vt:lpstr>
      <vt:lpstr>3d. Feeder Status-2025</vt:lpstr>
      <vt:lpstr>4a. System Status-2022</vt:lpstr>
      <vt:lpstr>4b. System Status-2023</vt:lpstr>
      <vt:lpstr>4c. System Status-2024</vt:lpstr>
      <vt:lpstr>4d. System Status-2025</vt:lpstr>
      <vt:lpstr>5a. Spending- 2022 Report </vt:lpstr>
      <vt:lpstr>5b. Spending- 2023 Report</vt:lpstr>
      <vt:lpstr>5c. Spending- 2024 Report</vt:lpstr>
      <vt:lpstr>5d. Spending - 2025 Report</vt:lpstr>
      <vt:lpstr>5.e. Spending-Cumulative</vt:lpstr>
      <vt:lpstr>6a. Substation Information-2022</vt:lpstr>
      <vt:lpstr>6b. Substation Information-2023</vt:lpstr>
      <vt:lpstr>6c. Substation Information-2024</vt:lpstr>
      <vt:lpstr>6d. Substation Information-2025</vt:lpstr>
      <vt:lpstr>7. DMS Power Flow</vt:lpstr>
      <vt:lpstr>8. Unitil CMI</vt:lpstr>
      <vt:lpstr>9. Pre-Investment Baselines</vt:lpstr>
      <vt:lpstr>Tab 10a. 2023 EJ &amp;LI</vt:lpstr>
      <vt:lpstr>10b. 2024 EJ&amp; LI</vt:lpstr>
      <vt:lpstr>10c.EJ &amp;LI- 2025</vt:lpstr>
      <vt:lpstr>'3a. Feeder Status-2022'!Print_Area</vt:lpstr>
      <vt:lpstr>'3b. Feeder Status-2023'!Print_Area</vt:lpstr>
      <vt:lpstr>'3c. Feeder Status-2024'!Print_Area</vt:lpstr>
      <vt:lpstr>'3d. Feeder Status-2025'!Print_Area</vt:lpstr>
      <vt:lpstr>'4a. System Status-2022'!Print_Area</vt:lpstr>
      <vt:lpstr>'4b. System Status-2023'!Print_Area</vt:lpstr>
      <vt:lpstr>'4c. System Status-2024'!Print_Area</vt:lpstr>
      <vt:lpstr>'4d. System Status-2025'!Print_Area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2023-01-25T20:37:28Z</dcterms:created>
  <dcterms:modified xsi:type="dcterms:W3CDTF">2024-07-01T20:47:59Z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0x010100DA8023915DC4B145B226F2D6818AE630</vt:lpwstr>
  </property>
  <property fmtid="{D5CDD505-2E9C-101B-9397-08002B2CF9AE}" pid="3" name="_dlc_DocIdItemGuid">
    <vt:lpwstr>761f93a1-aa5a-4adf-8852-ad48a499cbd8</vt:lpwstr>
  </property>
</Properties>
</file>