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022 Analysis\5-DPU 20-91 (Covid Bad Debt Compliance)\2024 Update\Filing to Regulator\"/>
    </mc:Choice>
  </mc:AlternateContent>
  <xr:revisionPtr revIDLastSave="0" documentId="13_ncr:1_{6C5950AA-53BA-42BE-8C53-E003EA0A6556}" xr6:coauthVersionLast="47" xr6:coauthVersionMax="47" xr10:uidLastSave="{00000000-0000-0000-0000-000000000000}"/>
  <bookViews>
    <workbookView xWindow="-25320" yWindow="-60" windowWidth="25440" windowHeight="15390" tabRatio="967" xr2:uid="{DF79C7E9-06D8-44F4-8896-206E17C93704}"/>
  </bookViews>
  <sheets>
    <sheet name="p1_Summary" sheetId="6" r:id="rId1"/>
    <sheet name="p2_MECO Baseline" sheetId="11" r:id="rId2"/>
    <sheet name="p3_MECO Base Rate" sheetId="12" r:id="rId3"/>
    <sheet name="p4_MECO COs" sheetId="13" r:id="rId4"/>
    <sheet name="p5_BOS Baseline" sheetId="5" r:id="rId5"/>
    <sheet name="p6_BOS Base Rate" sheetId="7" r:id="rId6"/>
    <sheet name="p7_BOS COs" sheetId="2" r:id="rId7"/>
  </sheets>
  <definedNames>
    <definedName name="_xlnm.Print_Area" localSheetId="1">'p2_MECO Baseline'!$A$1:$G$54</definedName>
    <definedName name="_xlnm.Print_Area" localSheetId="3">'p4_MECO COs'!$A$1:$L$84</definedName>
    <definedName name="_xlnm.Print_Area" localSheetId="4">'p5_BOS Baseline'!$A$1:$G$46</definedName>
    <definedName name="_xlnm.Print_Area" localSheetId="6">'p7_BOS COs'!$A$1:$K$77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5" i="6" l="1"/>
  <c r="A34" i="6"/>
  <c r="A33" i="6"/>
  <c r="C14" i="6"/>
  <c r="C12" i="6"/>
  <c r="A79" i="13"/>
  <c r="A76" i="13"/>
  <c r="A75" i="13"/>
  <c r="A74" i="13"/>
  <c r="A71" i="13"/>
  <c r="A70" i="13"/>
  <c r="A69" i="13"/>
  <c r="A68" i="13"/>
  <c r="A67" i="13"/>
  <c r="C61" i="13"/>
  <c r="F61" i="13" s="1"/>
  <c r="H61" i="13" s="1"/>
  <c r="K61" i="13" s="1"/>
  <c r="F60" i="13"/>
  <c r="H60" i="13" s="1"/>
  <c r="K60" i="13" s="1"/>
  <c r="C60" i="13"/>
  <c r="F59" i="13"/>
  <c r="H59" i="13" s="1"/>
  <c r="K59" i="13" s="1"/>
  <c r="C59" i="13"/>
  <c r="F58" i="13"/>
  <c r="H58" i="13" s="1"/>
  <c r="K58" i="13" s="1"/>
  <c r="C58" i="13"/>
  <c r="F57" i="13"/>
  <c r="H57" i="13" s="1"/>
  <c r="K57" i="13" s="1"/>
  <c r="C57" i="13"/>
  <c r="C56" i="13"/>
  <c r="F56" i="13" s="1"/>
  <c r="H56" i="13" s="1"/>
  <c r="K56" i="13" s="1"/>
  <c r="C55" i="13"/>
  <c r="F55" i="13" s="1"/>
  <c r="H55" i="13" s="1"/>
  <c r="K55" i="13" s="1"/>
  <c r="C54" i="13"/>
  <c r="F54" i="13" s="1"/>
  <c r="H54" i="13" s="1"/>
  <c r="K54" i="13" s="1"/>
  <c r="C53" i="13"/>
  <c r="F53" i="13" s="1"/>
  <c r="H53" i="13" s="1"/>
  <c r="K53" i="13" s="1"/>
  <c r="C52" i="13"/>
  <c r="F52" i="13" s="1"/>
  <c r="H52" i="13" s="1"/>
  <c r="K52" i="13" s="1"/>
  <c r="H51" i="13"/>
  <c r="K51" i="13" s="1"/>
  <c r="F51" i="13"/>
  <c r="C51" i="13"/>
  <c r="F50" i="13"/>
  <c r="H50" i="13" s="1"/>
  <c r="K50" i="13" s="1"/>
  <c r="C50" i="13"/>
  <c r="C49" i="13"/>
  <c r="F49" i="13" s="1"/>
  <c r="H49" i="13" s="1"/>
  <c r="K49" i="13" s="1"/>
  <c r="F48" i="13"/>
  <c r="H48" i="13" s="1"/>
  <c r="K48" i="13" s="1"/>
  <c r="C48" i="13"/>
  <c r="F47" i="13"/>
  <c r="H47" i="13" s="1"/>
  <c r="K47" i="13" s="1"/>
  <c r="C47" i="13"/>
  <c r="F46" i="13"/>
  <c r="H46" i="13" s="1"/>
  <c r="K46" i="13" s="1"/>
  <c r="C46" i="13"/>
  <c r="C45" i="13"/>
  <c r="F45" i="13" s="1"/>
  <c r="H45" i="13" s="1"/>
  <c r="K45" i="13" s="1"/>
  <c r="C44" i="13"/>
  <c r="F44" i="13" s="1"/>
  <c r="H44" i="13" s="1"/>
  <c r="K44" i="13" s="1"/>
  <c r="C43" i="13"/>
  <c r="F43" i="13" s="1"/>
  <c r="H43" i="13" s="1"/>
  <c r="K43" i="13" s="1"/>
  <c r="C42" i="13"/>
  <c r="F42" i="13" s="1"/>
  <c r="H42" i="13" s="1"/>
  <c r="K42" i="13" s="1"/>
  <c r="C41" i="13"/>
  <c r="F41" i="13" s="1"/>
  <c r="H41" i="13" s="1"/>
  <c r="K41" i="13" s="1"/>
  <c r="C40" i="13"/>
  <c r="F40" i="13" s="1"/>
  <c r="H40" i="13" s="1"/>
  <c r="K40" i="13" s="1"/>
  <c r="H39" i="13"/>
  <c r="K39" i="13" s="1"/>
  <c r="F39" i="13"/>
  <c r="C39" i="13"/>
  <c r="F38" i="13"/>
  <c r="H38" i="13" s="1"/>
  <c r="K38" i="13" s="1"/>
  <c r="C38" i="13"/>
  <c r="C37" i="13"/>
  <c r="F37" i="13" s="1"/>
  <c r="H37" i="13" s="1"/>
  <c r="K37" i="13" s="1"/>
  <c r="F36" i="13"/>
  <c r="H36" i="13" s="1"/>
  <c r="K36" i="13" s="1"/>
  <c r="C36" i="13"/>
  <c r="F35" i="13"/>
  <c r="H35" i="13" s="1"/>
  <c r="K35" i="13" s="1"/>
  <c r="C35" i="13"/>
  <c r="F34" i="13"/>
  <c r="H34" i="13" s="1"/>
  <c r="K34" i="13" s="1"/>
  <c r="C34" i="13"/>
  <c r="C33" i="13"/>
  <c r="F33" i="13" s="1"/>
  <c r="H33" i="13" s="1"/>
  <c r="K33" i="13" s="1"/>
  <c r="C32" i="13"/>
  <c r="F32" i="13" s="1"/>
  <c r="H32" i="13" s="1"/>
  <c r="K32" i="13" s="1"/>
  <c r="C31" i="13"/>
  <c r="F31" i="13" s="1"/>
  <c r="H31" i="13" s="1"/>
  <c r="K31" i="13" s="1"/>
  <c r="C30" i="13"/>
  <c r="F30" i="13" s="1"/>
  <c r="H30" i="13" s="1"/>
  <c r="K30" i="13" s="1"/>
  <c r="C29" i="13"/>
  <c r="F29" i="13" s="1"/>
  <c r="H29" i="13" s="1"/>
  <c r="K29" i="13" s="1"/>
  <c r="C28" i="13"/>
  <c r="F28" i="13" s="1"/>
  <c r="H28" i="13" s="1"/>
  <c r="K28" i="13" s="1"/>
  <c r="H27" i="13"/>
  <c r="K27" i="13" s="1"/>
  <c r="F27" i="13"/>
  <c r="C27" i="13"/>
  <c r="F26" i="13"/>
  <c r="H26" i="13" s="1"/>
  <c r="K26" i="13" s="1"/>
  <c r="C26" i="13"/>
  <c r="C25" i="13"/>
  <c r="F25" i="13" s="1"/>
  <c r="H25" i="13" s="1"/>
  <c r="K25" i="13" s="1"/>
  <c r="F24" i="13"/>
  <c r="H24" i="13" s="1"/>
  <c r="K24" i="13" s="1"/>
  <c r="C24" i="13"/>
  <c r="F23" i="13"/>
  <c r="H23" i="13" s="1"/>
  <c r="K23" i="13" s="1"/>
  <c r="C23" i="13"/>
  <c r="F22" i="13"/>
  <c r="H22" i="13" s="1"/>
  <c r="K22" i="13" s="1"/>
  <c r="C22" i="13"/>
  <c r="C21" i="13"/>
  <c r="F21" i="13" s="1"/>
  <c r="H21" i="13" s="1"/>
  <c r="K21" i="13" s="1"/>
  <c r="C20" i="13"/>
  <c r="F20" i="13" s="1"/>
  <c r="H20" i="13" s="1"/>
  <c r="K20" i="13" s="1"/>
  <c r="E19" i="13"/>
  <c r="F19" i="13" s="1"/>
  <c r="H19" i="13" s="1"/>
  <c r="K19" i="13" s="1"/>
  <c r="D19" i="13"/>
  <c r="C19" i="13"/>
  <c r="C18" i="13"/>
  <c r="F18" i="13" s="1"/>
  <c r="H18" i="13" s="1"/>
  <c r="K18" i="13" s="1"/>
  <c r="C17" i="13"/>
  <c r="F17" i="13" s="1"/>
  <c r="H17" i="13" s="1"/>
  <c r="K17" i="13" s="1"/>
  <c r="F16" i="13"/>
  <c r="H16" i="13" s="1"/>
  <c r="K16" i="13" s="1"/>
  <c r="C16" i="13"/>
  <c r="C15" i="13"/>
  <c r="F15" i="13" s="1"/>
  <c r="H15" i="13" s="1"/>
  <c r="K15" i="13" s="1"/>
  <c r="B15" i="13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A15" i="13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3" i="13" s="1"/>
  <c r="F14" i="13"/>
  <c r="H14" i="13" s="1"/>
  <c r="K14" i="13" s="1"/>
  <c r="K63" i="13" s="1"/>
  <c r="A55" i="12"/>
  <c r="C20" i="12"/>
  <c r="C22" i="12" s="1"/>
  <c r="C24" i="12" s="1"/>
  <c r="C14" i="12"/>
  <c r="L14" i="13" s="1"/>
  <c r="A13" i="12"/>
  <c r="A14" i="12" s="1"/>
  <c r="A40" i="11"/>
  <c r="G28" i="11"/>
  <c r="G22" i="11"/>
  <c r="G18" i="11"/>
  <c r="E18" i="11"/>
  <c r="E22" i="11" s="1"/>
  <c r="E28" i="11" s="1"/>
  <c r="C18" i="11"/>
  <c r="C22" i="11" s="1"/>
  <c r="C28" i="11" s="1"/>
  <c r="G30" i="11" s="1"/>
  <c r="G34" i="11" s="1"/>
  <c r="A14" i="11"/>
  <c r="A16" i="11" s="1"/>
  <c r="A20" i="12" l="1"/>
  <c r="A57" i="12"/>
  <c r="A18" i="11"/>
  <c r="A42" i="11"/>
  <c r="L15" i="13"/>
  <c r="L16" i="13" s="1"/>
  <c r="C30" i="12"/>
  <c r="C32" i="12" s="1"/>
  <c r="C34" i="12" s="1"/>
  <c r="L17" i="13"/>
  <c r="L18" i="13" s="1"/>
  <c r="L19" i="13" s="1"/>
  <c r="L20" i="13" s="1"/>
  <c r="L21" i="13" s="1"/>
  <c r="L22" i="13" s="1"/>
  <c r="L23" i="13" s="1"/>
  <c r="L24" i="13" s="1"/>
  <c r="L25" i="13" s="1"/>
  <c r="L26" i="13" s="1"/>
  <c r="L27" i="13" s="1"/>
  <c r="L28" i="13" s="1"/>
  <c r="D24" i="12"/>
  <c r="A56" i="12"/>
  <c r="D34" i="12" l="1"/>
  <c r="D36" i="12" s="1"/>
  <c r="L29" i="13"/>
  <c r="L30" i="13" s="1"/>
  <c r="L31" i="13" s="1"/>
  <c r="L32" i="13" s="1"/>
  <c r="L33" i="13" s="1"/>
  <c r="L34" i="13" s="1"/>
  <c r="L35" i="13" s="1"/>
  <c r="L36" i="13" s="1"/>
  <c r="L37" i="13" s="1"/>
  <c r="L38" i="13" s="1"/>
  <c r="L39" i="13" s="1"/>
  <c r="L40" i="13" s="1"/>
  <c r="C40" i="12"/>
  <c r="A20" i="11"/>
  <c r="A22" i="11" s="1"/>
  <c r="A44" i="11"/>
  <c r="A58" i="12"/>
  <c r="A21" i="12"/>
  <c r="A24" i="11" l="1"/>
  <c r="A26" i="11" s="1"/>
  <c r="A47" i="11"/>
  <c r="A59" i="12"/>
  <c r="A22" i="12"/>
  <c r="C42" i="12"/>
  <c r="C44" i="12"/>
  <c r="L41" i="13" l="1"/>
  <c r="C48" i="12"/>
  <c r="A24" i="12"/>
  <c r="A60" i="12"/>
  <c r="A49" i="11"/>
  <c r="A28" i="11"/>
  <c r="A30" i="12" l="1"/>
  <c r="A61" i="12"/>
  <c r="A30" i="11"/>
  <c r="A51" i="11"/>
  <c r="C50" i="12"/>
  <c r="C52" i="12"/>
  <c r="L53" i="13" s="1"/>
  <c r="L54" i="13" s="1"/>
  <c r="L55" i="13" s="1"/>
  <c r="L56" i="13" s="1"/>
  <c r="L57" i="13" s="1"/>
  <c r="L58" i="13" s="1"/>
  <c r="L59" i="13" s="1"/>
  <c r="L60" i="13" s="1"/>
  <c r="L61" i="13" s="1"/>
  <c r="L42" i="13"/>
  <c r="L43" i="13" s="1"/>
  <c r="L44" i="13" s="1"/>
  <c r="L45" i="13" s="1"/>
  <c r="L46" i="13" s="1"/>
  <c r="L47" i="13" s="1"/>
  <c r="L48" i="13" s="1"/>
  <c r="L49" i="13" s="1"/>
  <c r="L50" i="13" s="1"/>
  <c r="L51" i="13" s="1"/>
  <c r="L52" i="13" s="1"/>
  <c r="L63" i="13"/>
  <c r="A32" i="11" l="1"/>
  <c r="A52" i="11"/>
  <c r="A62" i="12"/>
  <c r="A31" i="12"/>
  <c r="A63" i="12" l="1"/>
  <c r="A32" i="12"/>
  <c r="A53" i="11"/>
  <c r="A34" i="11"/>
  <c r="A54" i="11" s="1"/>
  <c r="A64" i="12" l="1"/>
  <c r="A34" i="12"/>
  <c r="A36" i="12" l="1"/>
  <c r="A65" i="12"/>
  <c r="A66" i="12" l="1"/>
  <c r="A40" i="12"/>
  <c r="A67" i="12" l="1"/>
  <c r="A41" i="12"/>
  <c r="A68" i="12" l="1"/>
  <c r="A42" i="12"/>
  <c r="A44" i="12" l="1"/>
  <c r="A69" i="12"/>
  <c r="A70" i="12" l="1"/>
  <c r="A48" i="12"/>
  <c r="A49" i="12" l="1"/>
  <c r="A71" i="12"/>
  <c r="A50" i="12" l="1"/>
  <c r="A72" i="12"/>
  <c r="A73" i="12" l="1"/>
  <c r="A52" i="12"/>
  <c r="A74" i="12" s="1"/>
  <c r="A71" i="7" l="1"/>
  <c r="A69" i="7"/>
  <c r="A70" i="7"/>
  <c r="A68" i="7"/>
  <c r="A67" i="7"/>
  <c r="A66" i="7"/>
  <c r="A65" i="7"/>
  <c r="A64" i="7"/>
  <c r="F35" i="2"/>
  <c r="F39" i="2"/>
  <c r="H39" i="2" s="1"/>
  <c r="J39" i="2" s="1"/>
  <c r="F47" i="2"/>
  <c r="H47" i="2" s="1"/>
  <c r="J47" i="2" s="1"/>
  <c r="F51" i="2"/>
  <c r="H51" i="2" s="1"/>
  <c r="J51" i="2" s="1"/>
  <c r="F59" i="2"/>
  <c r="H59" i="2" s="1"/>
  <c r="J59" i="2" s="1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F36" i="2" s="1"/>
  <c r="C37" i="2"/>
  <c r="F37" i="2" s="1"/>
  <c r="H37" i="2" s="1"/>
  <c r="J37" i="2" s="1"/>
  <c r="C38" i="2"/>
  <c r="F38" i="2" s="1"/>
  <c r="H38" i="2" s="1"/>
  <c r="J38" i="2" s="1"/>
  <c r="C39" i="2"/>
  <c r="C40" i="2"/>
  <c r="F40" i="2" s="1"/>
  <c r="H40" i="2" s="1"/>
  <c r="J40" i="2" s="1"/>
  <c r="C41" i="2"/>
  <c r="F41" i="2" s="1"/>
  <c r="H41" i="2" s="1"/>
  <c r="J41" i="2" s="1"/>
  <c r="C42" i="2"/>
  <c r="F42" i="2" s="1"/>
  <c r="H42" i="2" s="1"/>
  <c r="J42" i="2" s="1"/>
  <c r="C43" i="2"/>
  <c r="F43" i="2" s="1"/>
  <c r="H43" i="2" s="1"/>
  <c r="J43" i="2" s="1"/>
  <c r="C44" i="2"/>
  <c r="F44" i="2" s="1"/>
  <c r="H44" i="2" s="1"/>
  <c r="J44" i="2" s="1"/>
  <c r="C45" i="2"/>
  <c r="F45" i="2" s="1"/>
  <c r="H45" i="2" s="1"/>
  <c r="J45" i="2" s="1"/>
  <c r="C46" i="2"/>
  <c r="F46" i="2" s="1"/>
  <c r="H46" i="2" s="1"/>
  <c r="J46" i="2" s="1"/>
  <c r="C47" i="2"/>
  <c r="C48" i="2"/>
  <c r="F48" i="2" s="1"/>
  <c r="H48" i="2" s="1"/>
  <c r="J48" i="2" s="1"/>
  <c r="C49" i="2"/>
  <c r="F49" i="2" s="1"/>
  <c r="H49" i="2" s="1"/>
  <c r="J49" i="2" s="1"/>
  <c r="C50" i="2"/>
  <c r="F50" i="2" s="1"/>
  <c r="H50" i="2" s="1"/>
  <c r="J50" i="2" s="1"/>
  <c r="C51" i="2"/>
  <c r="C52" i="2"/>
  <c r="F52" i="2" s="1"/>
  <c r="H52" i="2" s="1"/>
  <c r="J52" i="2" s="1"/>
  <c r="C53" i="2"/>
  <c r="F53" i="2" s="1"/>
  <c r="H53" i="2" s="1"/>
  <c r="J53" i="2" s="1"/>
  <c r="C54" i="2"/>
  <c r="F54" i="2" s="1"/>
  <c r="H54" i="2" s="1"/>
  <c r="J54" i="2" s="1"/>
  <c r="C55" i="2"/>
  <c r="F55" i="2" s="1"/>
  <c r="H55" i="2" s="1"/>
  <c r="J55" i="2" s="1"/>
  <c r="C56" i="2"/>
  <c r="F56" i="2" s="1"/>
  <c r="H56" i="2" s="1"/>
  <c r="J56" i="2" s="1"/>
  <c r="C57" i="2"/>
  <c r="F57" i="2" s="1"/>
  <c r="H57" i="2" s="1"/>
  <c r="J57" i="2" s="1"/>
  <c r="C58" i="2"/>
  <c r="F58" i="2" s="1"/>
  <c r="H58" i="2" s="1"/>
  <c r="J58" i="2" s="1"/>
  <c r="C59" i="2"/>
  <c r="C60" i="2"/>
  <c r="F60" i="2" s="1"/>
  <c r="H60" i="2" s="1"/>
  <c r="J60" i="2" s="1"/>
  <c r="C14" i="2"/>
  <c r="A63" i="2" l="1"/>
  <c r="A73" i="2" l="1"/>
  <c r="A72" i="2"/>
  <c r="A71" i="2"/>
  <c r="A70" i="2"/>
  <c r="A69" i="2"/>
  <c r="A68" i="2"/>
  <c r="A67" i="2"/>
  <c r="A66" i="2"/>
  <c r="A45" i="5"/>
  <c r="C20" i="7"/>
  <c r="A13" i="7"/>
  <c r="A14" i="7" s="1"/>
  <c r="A15" i="7" s="1"/>
  <c r="A55" i="7" s="1"/>
  <c r="C15" i="7"/>
  <c r="C22" i="7" s="1"/>
  <c r="D22" i="7" l="1"/>
  <c r="K15" i="2"/>
  <c r="K23" i="2"/>
  <c r="K21" i="2"/>
  <c r="K22" i="2"/>
  <c r="K16" i="2"/>
  <c r="K24" i="2"/>
  <c r="K17" i="2"/>
  <c r="K25" i="2"/>
  <c r="K14" i="2"/>
  <c r="K18" i="2"/>
  <c r="K26" i="2"/>
  <c r="K19" i="2"/>
  <c r="K27" i="2"/>
  <c r="K20" i="2"/>
  <c r="K13" i="2"/>
  <c r="A18" i="7"/>
  <c r="A53" i="7"/>
  <c r="A54" i="7"/>
  <c r="C32" i="7"/>
  <c r="D3" i="7"/>
  <c r="D2" i="7"/>
  <c r="D1" i="7"/>
  <c r="A30" i="6"/>
  <c r="K3" i="2"/>
  <c r="K2" i="2"/>
  <c r="K1" i="2"/>
  <c r="G3" i="5"/>
  <c r="G2" i="5"/>
  <c r="G1" i="5"/>
  <c r="A14" i="6"/>
  <c r="A16" i="6" s="1"/>
  <c r="A22" i="6" s="1"/>
  <c r="G36" i="2"/>
  <c r="H36" i="2" s="1"/>
  <c r="J36" i="2" s="1"/>
  <c r="G35" i="2"/>
  <c r="H35" i="2" s="1"/>
  <c r="J35" i="2" s="1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0" i="2"/>
  <c r="G19" i="2"/>
  <c r="G18" i="2"/>
  <c r="G16" i="2"/>
  <c r="G14" i="2"/>
  <c r="G13" i="2"/>
  <c r="D32" i="7" l="1"/>
  <c r="D34" i="7" s="1"/>
  <c r="C39" i="7"/>
  <c r="C41" i="7" s="1"/>
  <c r="C43" i="7" s="1"/>
  <c r="K34" i="2"/>
  <c r="K35" i="2"/>
  <c r="K36" i="2"/>
  <c r="K29" i="2"/>
  <c r="K37" i="2"/>
  <c r="K30" i="2"/>
  <c r="K38" i="2"/>
  <c r="K33" i="2"/>
  <c r="K31" i="2"/>
  <c r="K39" i="2"/>
  <c r="K32" i="2"/>
  <c r="K28" i="2"/>
  <c r="A31" i="6"/>
  <c r="A24" i="6"/>
  <c r="A26" i="6" s="1"/>
  <c r="A32" i="6"/>
  <c r="A19" i="7"/>
  <c r="A56" i="7"/>
  <c r="K46" i="2" l="1"/>
  <c r="K45" i="2"/>
  <c r="C46" i="7"/>
  <c r="C48" i="7" s="1"/>
  <c r="C50" i="7" s="1"/>
  <c r="K47" i="2"/>
  <c r="K48" i="2"/>
  <c r="K41" i="2"/>
  <c r="K49" i="2"/>
  <c r="K42" i="2"/>
  <c r="K50" i="2"/>
  <c r="K43" i="2"/>
  <c r="K51" i="2"/>
  <c r="K44" i="2"/>
  <c r="K40" i="2"/>
  <c r="G29" i="5"/>
  <c r="A20" i="7"/>
  <c r="A57" i="7"/>
  <c r="G17" i="5"/>
  <c r="G21" i="5" s="1"/>
  <c r="G25" i="5" s="1"/>
  <c r="E17" i="5"/>
  <c r="E21" i="5" s="1"/>
  <c r="E25" i="5" s="1"/>
  <c r="C17" i="5"/>
  <c r="C21" i="5" s="1"/>
  <c r="C25" i="5" s="1"/>
  <c r="A13" i="5"/>
  <c r="A15" i="5" s="1"/>
  <c r="A38" i="5" s="1"/>
  <c r="K58" i="2" l="1"/>
  <c r="K59" i="2"/>
  <c r="K57" i="2"/>
  <c r="K60" i="2"/>
  <c r="K55" i="2"/>
  <c r="K56" i="2"/>
  <c r="K53" i="2"/>
  <c r="K52" i="2"/>
  <c r="K54" i="2"/>
  <c r="A22" i="7"/>
  <c r="A58" i="7"/>
  <c r="G27" i="5"/>
  <c r="A37" i="5"/>
  <c r="A17" i="5"/>
  <c r="K63" i="2" l="1"/>
  <c r="C24" i="6" s="1"/>
  <c r="G31" i="5"/>
  <c r="A59" i="7"/>
  <c r="A30" i="7"/>
  <c r="A19" i="5"/>
  <c r="A21" i="5" s="1"/>
  <c r="A23" i="5" s="1"/>
  <c r="A39" i="5"/>
  <c r="A41" i="5" l="1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1" i="7" l="1"/>
  <c r="A60" i="7"/>
  <c r="A25" i="5"/>
  <c r="F34" i="2"/>
  <c r="H34" i="2" s="1"/>
  <c r="J34" i="2" s="1"/>
  <c r="F33" i="2"/>
  <c r="H33" i="2" s="1"/>
  <c r="J33" i="2" s="1"/>
  <c r="F32" i="2"/>
  <c r="H32" i="2" s="1"/>
  <c r="J32" i="2" s="1"/>
  <c r="F31" i="2"/>
  <c r="H31" i="2" s="1"/>
  <c r="J31" i="2" s="1"/>
  <c r="F30" i="2"/>
  <c r="H30" i="2" s="1"/>
  <c r="J30" i="2" s="1"/>
  <c r="F29" i="2"/>
  <c r="H29" i="2" s="1"/>
  <c r="J29" i="2" s="1"/>
  <c r="F28" i="2"/>
  <c r="H28" i="2" s="1"/>
  <c r="J28" i="2" s="1"/>
  <c r="F27" i="2"/>
  <c r="H27" i="2" s="1"/>
  <c r="J27" i="2" s="1"/>
  <c r="F26" i="2"/>
  <c r="H26" i="2" s="1"/>
  <c r="J26" i="2" s="1"/>
  <c r="F25" i="2"/>
  <c r="H25" i="2" s="1"/>
  <c r="J25" i="2" s="1"/>
  <c r="F24" i="2"/>
  <c r="H24" i="2" s="1"/>
  <c r="J24" i="2" s="1"/>
  <c r="F23" i="2"/>
  <c r="H23" i="2" s="1"/>
  <c r="J23" i="2" s="1"/>
  <c r="F22" i="2"/>
  <c r="H22" i="2" s="1"/>
  <c r="J22" i="2" s="1"/>
  <c r="F21" i="2"/>
  <c r="H21" i="2" s="1"/>
  <c r="J21" i="2" s="1"/>
  <c r="F20" i="2"/>
  <c r="H20" i="2" s="1"/>
  <c r="J20" i="2" s="1"/>
  <c r="F19" i="2"/>
  <c r="H19" i="2" s="1"/>
  <c r="J19" i="2" s="1"/>
  <c r="F18" i="2"/>
  <c r="H18" i="2" s="1"/>
  <c r="J18" i="2" s="1"/>
  <c r="F17" i="2"/>
  <c r="H17" i="2" s="1"/>
  <c r="J17" i="2" s="1"/>
  <c r="F16" i="2"/>
  <c r="H16" i="2" s="1"/>
  <c r="J16" i="2" s="1"/>
  <c r="F15" i="2"/>
  <c r="H15" i="2" s="1"/>
  <c r="J15" i="2" s="1"/>
  <c r="F14" i="2"/>
  <c r="H14" i="2" s="1"/>
  <c r="J14" i="2" s="1"/>
  <c r="B14" i="2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F13" i="2"/>
  <c r="H13" i="2" s="1"/>
  <c r="J13" i="2" s="1"/>
  <c r="J63" i="2" l="1"/>
  <c r="C22" i="6" s="1"/>
  <c r="A32" i="7"/>
  <c r="A61" i="7"/>
  <c r="A43" i="5"/>
  <c r="A27" i="5"/>
  <c r="A34" i="7" l="1"/>
  <c r="A62" i="7"/>
  <c r="A44" i="5"/>
  <c r="A29" i="5"/>
  <c r="A31" i="5" s="1"/>
  <c r="A63" i="7" l="1"/>
  <c r="A39" i="7"/>
  <c r="A40" i="7" s="1"/>
  <c r="A41" i="7" s="1"/>
  <c r="A43" i="7" s="1"/>
  <c r="A46" i="7" s="1"/>
  <c r="A47" i="7" s="1"/>
  <c r="A48" i="7" s="1"/>
  <c r="A50" i="7" s="1"/>
  <c r="A46" i="5" l="1"/>
  <c r="C16" i="6" l="1"/>
  <c r="C26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Scheib, Ryan</author>
  </authors>
  <commentList>
    <comment ref="I10" authorId="0" shapeId="0" xr:uid="{8224AA68-EA3F-4511-AB6E-2D30C3837486}">
      <text>
        <r>
          <rPr>
            <b/>
            <sz val="9"/>
            <color indexed="81"/>
            <rFont val="Tahoma"/>
            <family val="2"/>
          </rPr>
          <t>Scheib, Ryan:</t>
        </r>
        <r>
          <rPr>
            <sz val="9"/>
            <color indexed="81"/>
            <rFont val="Tahoma"/>
            <family val="2"/>
          </rPr>
          <t xml:space="preserve">
Bad Debt file - 980 Charge Offs subtotal of "C" minus 980 Recovery subtotal of "C"</t>
        </r>
      </text>
    </comment>
  </commentList>
</comments>
</file>

<file path=xl/sharedStrings.xml><?xml version="1.0" encoding="utf-8"?>
<sst xmlns="http://schemas.openxmlformats.org/spreadsheetml/2006/main" count="313" uniqueCount="184">
  <si>
    <t>Beginning</t>
  </si>
  <si>
    <t>of Month</t>
  </si>
  <si>
    <t>End</t>
  </si>
  <si>
    <t>Bad Debt Reserve</t>
  </si>
  <si>
    <t>Additions</t>
  </si>
  <si>
    <t>to</t>
  </si>
  <si>
    <t>Reserve</t>
  </si>
  <si>
    <t>Offs</t>
  </si>
  <si>
    <t>Net</t>
  </si>
  <si>
    <t>Charge</t>
  </si>
  <si>
    <t>Charged Off</t>
  </si>
  <si>
    <t>Hardship</t>
  </si>
  <si>
    <t>Less</t>
  </si>
  <si>
    <t>Adjusted</t>
  </si>
  <si>
    <t>Charge Offs</t>
  </si>
  <si>
    <t>POR A/R</t>
  </si>
  <si>
    <t>Basic Service</t>
  </si>
  <si>
    <t>Delivery</t>
  </si>
  <si>
    <t>Boston Gas Company</t>
  </si>
  <si>
    <t>Massachusetts Electric Company</t>
  </si>
  <si>
    <t>Nantucket Electric Company</t>
  </si>
  <si>
    <t>Line (3)</t>
  </si>
  <si>
    <t>Line (7)</t>
  </si>
  <si>
    <t>(a)</t>
  </si>
  <si>
    <t>(b)</t>
  </si>
  <si>
    <t>(d)</t>
  </si>
  <si>
    <t>(f)</t>
  </si>
  <si>
    <t>(g)</t>
  </si>
  <si>
    <t>(h)</t>
  </si>
  <si>
    <t>(i)</t>
  </si>
  <si>
    <t>(c)</t>
  </si>
  <si>
    <t>(e)</t>
  </si>
  <si>
    <t>Net Charge-Offs</t>
  </si>
  <si>
    <t>Less Hardship Accounts Charged Off</t>
  </si>
  <si>
    <t>Adjusted Net Charge-Offs</t>
  </si>
  <si>
    <t>Net Charge-Offs related to Purchase of Receivables</t>
  </si>
  <si>
    <t>Net Charge-Offs Allocated to Commodity</t>
  </si>
  <si>
    <t>Adjusted Net Charge-Offs Allocated to Delivery</t>
  </si>
  <si>
    <t>Three Year Average</t>
  </si>
  <si>
    <t>(1)</t>
  </si>
  <si>
    <t>Per Company Customer Service System</t>
  </si>
  <si>
    <t>(5)</t>
  </si>
  <si>
    <t>(7)</t>
  </si>
  <si>
    <t>Bad Debt Reserve @ Beginning of Month</t>
  </si>
  <si>
    <t>Plus Additions to Reserve during Month</t>
  </si>
  <si>
    <t>Less Bad Debt Reserve @ End of Month</t>
  </si>
  <si>
    <t>Line (1) + Line (2) - Line (3)</t>
  </si>
  <si>
    <t>Line (4) - Line (5)</t>
  </si>
  <si>
    <t>Line (6) - Line (7) - Line (8)</t>
  </si>
  <si>
    <t>Average of Line (9), Columns (a) through (c)</t>
  </si>
  <si>
    <t>Amount of Delivery-Related Bad Debt in Base Distribution Rates</t>
  </si>
  <si>
    <t>Year Ended September 30, 2020</t>
  </si>
  <si>
    <t>Rate Year Allowance Bad Debt (9/30/2020)</t>
  </si>
  <si>
    <t>Adjustment for Rate Increase</t>
  </si>
  <si>
    <t>Total Rate Year Allowance Bad Debt (9/30/2020)</t>
  </si>
  <si>
    <t>Year Ended September 30, 2021</t>
  </si>
  <si>
    <t>PBR Year 1 Percentage Increase</t>
  </si>
  <si>
    <t xml:space="preserve">Uncollectible Increase PBR Year 1 </t>
  </si>
  <si>
    <t>Total Rate Year Allowance Bad Debt (9/30/2021)</t>
  </si>
  <si>
    <t>Year Ended September 30, 2022</t>
  </si>
  <si>
    <t>PBR Year 2 Percentage Increase</t>
  </si>
  <si>
    <t>Uncollectible Increase PBR Year 2</t>
  </si>
  <si>
    <t>Total Rate Year Allowance Bad Debt (9/30/2022)</t>
  </si>
  <si>
    <t>D.P.U. 18-150, Exhibit NG-RRP-2 (C), Schedule 3, Page 2, Line 11</t>
  </si>
  <si>
    <t>D.P.U. 18-150, Exhibit NG-RRP-2 (C), Schedule 1, Page 2, Column (e), Line 12</t>
  </si>
  <si>
    <t>D.P.U. 20-68-A, Order Page 11</t>
  </si>
  <si>
    <t>Line (4) x Line (5)</t>
  </si>
  <si>
    <t>D.P.U. 21-74, Exhibit NG-1, Page 9, Line 9</t>
  </si>
  <si>
    <t>Line (8) x Line (9)</t>
  </si>
  <si>
    <t>Line (1) + Line (2)</t>
  </si>
  <si>
    <t>Higher of 3-Year Average or Adjusted Base Distribution Rate Allowance</t>
  </si>
  <si>
    <t>Total Adjusted Allowance Bad Debt (9/30/2021)</t>
  </si>
  <si>
    <t>Total Adjusted Allowance Bad Debt (9/30/2022)</t>
  </si>
  <si>
    <t>Higher of Line (10) or Line (11)</t>
  </si>
  <si>
    <t>Per Company General Ledger</t>
  </si>
  <si>
    <t>Line (6) - Line (7)</t>
  </si>
  <si>
    <t>Average of Line (8), Columns (a) through (c)</t>
  </si>
  <si>
    <t>Higher of Line (9) or Line (10)</t>
  </si>
  <si>
    <t>Rate Year Allowance Bad Debt (9/30/2022)</t>
  </si>
  <si>
    <t>D.P.U. 20-120, Exhibit NG-RRP-2 (C) Recalc, Schedule 3, Page 2, Column (c), Line 11</t>
  </si>
  <si>
    <t>D.P.U. 20-120, Exhibit NG-RRP-2 (C) Recalc, Schedule 1, Page 3, Column (e), Line 12</t>
  </si>
  <si>
    <t xml:space="preserve">Per Basic Service Administrative Cost Factor Filings--2017 D.P.U. 18-26, Exh SMK-6, p 3, Col (m), Line (5); 2018 D.P.U. 20-32, </t>
  </si>
  <si>
    <t>National Grid</t>
  </si>
  <si>
    <t>Commodity</t>
  </si>
  <si>
    <t>Actual Delivery-Related Net Charge Offs</t>
  </si>
  <si>
    <t>Delivery-Related Baseline</t>
  </si>
  <si>
    <t>Incremental Delivery-Related Net Charge Offs</t>
  </si>
  <si>
    <t>Massachusetts Electric Company/Nantucket Electric Company</t>
  </si>
  <si>
    <t>Oct-21 to Jun-22</t>
  </si>
  <si>
    <t>Line (8) + Line (10); (b): (a) x 75%</t>
  </si>
  <si>
    <t>Line (3) + Line (7) + Line (11)</t>
  </si>
  <si>
    <t>Jul-21 to Sep-21</t>
  </si>
  <si>
    <t>Page 7 of 7</t>
  </si>
  <si>
    <t>Page 6 of 7</t>
  </si>
  <si>
    <t>Page 5 of 7</t>
  </si>
  <si>
    <t>Page 4 of 7</t>
  </si>
  <si>
    <t>Page 3 of 7</t>
  </si>
  <si>
    <t>Page 2 of 7</t>
  </si>
  <si>
    <t>Page 1 of 7</t>
  </si>
  <si>
    <t>If Line (1) &gt; Line (2), Line (1) - Line (2), otherwise, $0</t>
  </si>
  <si>
    <t>If Line (4) &gt; Line (5), Line (4) - Line (5), otherwise, $0</t>
  </si>
  <si>
    <t xml:space="preserve">Total Base Distribution Rate Allowance </t>
  </si>
  <si>
    <t>Rate Year Allowance Bad Debt (9/30/2019)</t>
  </si>
  <si>
    <t>Total Rate Year Allowance Bad Debt (9/30/2019)</t>
  </si>
  <si>
    <t>Amount of Delivery-Related Bad Debt in Base Distribution Rates-Boston Gas</t>
  </si>
  <si>
    <t>D.P.U. 17-170, Exhibit NG-DSD-2-BOS (C), Schedule 1, Page 2, Column (e), Line (9)</t>
  </si>
  <si>
    <t>D.P.U. 17-170, Exhibit NG-DSD-2-BOS (C), Schedule 3, Page 2, Column (c), Line (11)</t>
  </si>
  <si>
    <t>Amount of Delivery-Related Bad Debt in Base Distribution Rates-Colonial Gas</t>
  </si>
  <si>
    <t>Line (4) + Line (5)</t>
  </si>
  <si>
    <t>D.P.U. 17-170, Exhibit NG-DSD-2-COL (C), Schedule 1, Page 2, Column (e), Line (9)</t>
  </si>
  <si>
    <t>D.P.U. 17-170, Exhibit NG-DSD-2-COL (C), Schedule 3, Page 2, Column (c), Line (11)</t>
  </si>
  <si>
    <t>Line (3) + Line (6); (b): (a) x 25%</t>
  </si>
  <si>
    <t>Line (11) + Line (12); (b): (a) x 75%</t>
  </si>
  <si>
    <t>Amount of Delivery-Related Bad Debt in Base Distribution Rates-Combined</t>
  </si>
  <si>
    <t>Page 6, Line (11), Column (b)</t>
  </si>
  <si>
    <t>Column (b), Line (7) + Line (11)</t>
  </si>
  <si>
    <t>Per Company Billing System Reporting</t>
  </si>
  <si>
    <t>Column (a) + Column (b) - Column (c)</t>
  </si>
  <si>
    <t>Column (d) - Column (e)</t>
  </si>
  <si>
    <t>Column (f) - Column (g)</t>
  </si>
  <si>
    <t>CY20: D.P.U. 21-34, Exh NG-6 Revised, Page 3, Line (5); CY21: D.P.U. 22-29, Exh MR-6, Page 3, Line (5)</t>
  </si>
  <si>
    <t>CY20: D.P.U. 21-34, Exh NG-6 Revised, Page 3, Line (7); CY21: D.P.U. 22-29, Exh MR-6, Page 3, Line (7)</t>
  </si>
  <si>
    <t>Column (f) - Column (g) - Column (h)</t>
  </si>
  <si>
    <t>Line (4) + Line (6); (b): (a) x 25%</t>
  </si>
  <si>
    <t>Page 3, Column (b), Line (12)</t>
  </si>
  <si>
    <t>D.P.U. 20-58/D.P.U. 20-91</t>
  </si>
  <si>
    <t>Bad Debt Report</t>
  </si>
  <si>
    <t>Per Cost of Gas Filings DPU 17-GAF-P5, 18-GAF-O5, 18-GAF-P5, 19-GAF-O5, 19-GAF-P5, 20-GAF-O5, 20-GAF-P5</t>
  </si>
  <si>
    <t>Per Gas Adjustment Factor Reconciliation Filings in DPU 21-GAF-O5, 21-GAF-P5, 22-OGAF-GRID; Company Records</t>
  </si>
  <si>
    <t xml:space="preserve">Per Basic Service Administrative Cost Factor Filings--2017 D.P.U. 18-26, Exh SMK-6, p 3, Col (m), Line (1); 2018 D.P.U. 20-32, </t>
  </si>
  <si>
    <t>Exh DEG-7, p 1, Col (m), Line (1); 2019 D.P.U. 21-94, Exh NG-7, p 1, Col (m), Line (1)</t>
  </si>
  <si>
    <t xml:space="preserve">Per Basic Service Administrative Cost Factor Filings--2017 D.P.U. 18-26, Exh SMK-6, p 3, Col (m), Line (2); 2018 D.P.U. 20-32, </t>
  </si>
  <si>
    <t>Exh DEG-7, p 1, Col (m), Line (2); 2019 D.P.U. 21-94, Exh NG-7, p 1, Col (m), Line (2)</t>
  </si>
  <si>
    <t xml:space="preserve">Per Basic Service Administrative Cost Factor Filings--2017 D.P.U. 18-26, Exh SMK-6, p 3, Col (m), Line (3); 2018 D.P.U. 20-32, </t>
  </si>
  <si>
    <t>Exh DEG-7, p 1, Col (m), Line (3); 2019 D.P.U. 21-94, Exh NG-7, p 1, Col (m), Line (3)</t>
  </si>
  <si>
    <t>Exh DEG-7, p 1, Col (m), Line (5); 2019 D.P.U. 21-94, Exh NG-7, p 1, Col (m), Line (5)</t>
  </si>
  <si>
    <t xml:space="preserve">Per Basic Service Administrative Cost Factor Filings--2017 D.P.U. 18-26, Exh SMK-6, p 3, Col (m), Line (7); 2018 D.P.U. 20-32, </t>
  </si>
  <si>
    <t>Exh DEG-7, p 1, Col (m), Line (7); 2019 D.P.U. 21-94, Exh NG-7, p 1, Col (m), Line (7)</t>
  </si>
  <si>
    <t>Total</t>
  </si>
  <si>
    <t xml:space="preserve"> </t>
  </si>
  <si>
    <t>Baseline</t>
  </si>
  <si>
    <t>Year Ended September 30, 2023</t>
  </si>
  <si>
    <t>Uncollectible Increase PBR Year 3</t>
  </si>
  <si>
    <t>Total Adjusted Allowance Bad Debt (9/30/2023)</t>
  </si>
  <si>
    <t>Line (11)</t>
  </si>
  <si>
    <t>Year Ended September 30, 2024</t>
  </si>
  <si>
    <t>Total Rate Year Allowance Bad Debt (9/30/2023)</t>
  </si>
  <si>
    <t>Total Adjusted Allowance Bad Debt (9/30/2024)</t>
  </si>
  <si>
    <t>Uncollectible Increase PBR Year 4</t>
  </si>
  <si>
    <t>PBR Year 3 Percentage Increase</t>
  </si>
  <si>
    <t>PBR Year 4 Percentage Increase</t>
  </si>
  <si>
    <t>Line (13) x Line (14)</t>
  </si>
  <si>
    <t>Line (13) + Line (15)</t>
  </si>
  <si>
    <t>D.P.U. 22-73, Exhibit NG-1, Page 13, Line 14</t>
  </si>
  <si>
    <t>Line (16)</t>
  </si>
  <si>
    <t>Line (17) x Line (18)</t>
  </si>
  <si>
    <t>Line (17) + Line (19)</t>
  </si>
  <si>
    <t>D.P.U. 23-55, Exhibit NG-1, Page 12, Line 12</t>
  </si>
  <si>
    <t>Delivery Net</t>
  </si>
  <si>
    <t>Page 4, Col (i), Line (49)</t>
  </si>
  <si>
    <t>Page 4, Col (j), Line (49)</t>
  </si>
  <si>
    <t>Page 7, Col (h), Line (49)</t>
  </si>
  <si>
    <t>Page 7, Col (i), Line (49)</t>
  </si>
  <si>
    <t>Line (10)</t>
  </si>
  <si>
    <r>
      <t xml:space="preserve">D.P.U. 22-74, Exhibit NG-2, [Page 2, Line (12)(b) + Page 5, Line (1)] </t>
    </r>
    <r>
      <rPr>
        <sz val="11"/>
        <color theme="1"/>
        <rFont val="Calibri"/>
        <family val="2"/>
      </rPr>
      <t>÷</t>
    </r>
    <r>
      <rPr>
        <sz val="11"/>
        <color theme="1"/>
        <rFont val="Times New Roman"/>
        <family val="1"/>
      </rPr>
      <t xml:space="preserve"> Page 2, Line (5)(b)</t>
    </r>
  </si>
  <si>
    <t>Line (12) x Line (13)</t>
  </si>
  <si>
    <t>Line (12) + Line (14)</t>
  </si>
  <si>
    <t>Line (15)</t>
  </si>
  <si>
    <t>D.P.U. 23-56, Exhibit NG-2, Page 2, Line (9)(d)</t>
  </si>
  <si>
    <t>Line (16) x Line (17)</t>
  </si>
  <si>
    <t>Line (16) + Line (18)</t>
  </si>
  <si>
    <t>Line (16): Page 6, Ln (11)(b) ÷ 12</t>
  </si>
  <si>
    <r>
      <t xml:space="preserve">Line (1): Page 6, Ln (7)(a) </t>
    </r>
    <r>
      <rPr>
        <sz val="11"/>
        <color theme="1"/>
        <rFont val="Calibri"/>
        <family val="2"/>
      </rPr>
      <t>÷ 12</t>
    </r>
  </si>
  <si>
    <t>Line (28): Page 6, Ln (15)(a) ÷ 12</t>
  </si>
  <si>
    <t>Line (40): Page 6, Ln (19)(a) ÷ 12</t>
  </si>
  <si>
    <t>(j)</t>
  </si>
  <si>
    <t>CY22: D.P.U. 23-21, Exh DEG-6, Page 3, Line (5); CY23: D.P.U. 24-37, Exh RMS-6, Page 3, Line (5)</t>
  </si>
  <si>
    <t>CY24: per Company Customer Service System</t>
  </si>
  <si>
    <t>CY22: D.P.U. 23-21, Exh DEG-6, Page 3, Line (7); CY23: D.P.U. 24-37, Exh RMS-6, Page 3, Line (7)</t>
  </si>
  <si>
    <t>Line (40): Page 3, Ln (20)(a) ÷ 12</t>
  </si>
  <si>
    <t>Line (28): Page 3, Ln (16)(a) ÷ 12</t>
  </si>
  <si>
    <t>Line (16): Page 3, Ln (11)(a) ÷ 12</t>
  </si>
  <si>
    <t>Line (4): Page 3, Ln (7)(a) ÷ 12</t>
  </si>
  <si>
    <r>
      <t xml:space="preserve">Line (1): Page 3, Ln (3) </t>
    </r>
    <r>
      <rPr>
        <sz val="11"/>
        <color theme="1"/>
        <rFont val="Calibri"/>
        <family val="2"/>
      </rPr>
      <t>÷ 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</si>
</sst>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0_);\(0\)"/>
    <numFmt numFmtId="166" formatCode="0.00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0"/>
      <name val="Arial"/>
      <family val="2"/>
    </font>
    <font>
      <sz val="11"/>
      <color rgb="FF000000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u/>
      <sz val="11"/>
      <name val="Times New Roman"/>
      <family val="1"/>
    </font>
    <font>
      <u/>
      <sz val="11"/>
      <color rgb="FF000000"/>
      <name val="Times New Roman"/>
      <family val="1"/>
    </font>
    <font>
      <u/>
      <sz val="11"/>
      <color theme="1"/>
      <name val="Times New Roman"/>
      <family val="1"/>
    </font>
    <font>
      <u val="singleAccounting"/>
      <sz val="11"/>
      <color rgb="FF00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4" fillId="0" borderId="0"/>
    <xf numFmtId="0" fontId="6" fillId="0" borderId="0"/>
    <xf numFmtId="0" fontId="6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3" applyFont="1" applyAlignment="1">
      <alignment horizontal="center"/>
    </xf>
    <xf numFmtId="0" fontId="3" fillId="0" borderId="0" xfId="3" applyFont="1"/>
    <xf numFmtId="0" fontId="5" fillId="0" borderId="0" xfId="4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5" applyFont="1" applyAlignment="1">
      <alignment horizontal="right"/>
    </xf>
    <xf numFmtId="0" fontId="7" fillId="0" borderId="0" xfId="0" applyFont="1"/>
    <xf numFmtId="0" fontId="8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5" fillId="0" borderId="0" xfId="0" applyFont="1"/>
    <xf numFmtId="0" fontId="3" fillId="0" borderId="0" xfId="0" applyFont="1"/>
    <xf numFmtId="5" fontId="3" fillId="0" borderId="0" xfId="0" applyNumberFormat="1" applyFont="1"/>
    <xf numFmtId="0" fontId="3" fillId="0" borderId="0" xfId="0" applyFont="1" applyAlignment="1">
      <alignment horizontal="center"/>
    </xf>
    <xf numFmtId="0" fontId="9" fillId="0" borderId="0" xfId="0" applyFont="1"/>
    <xf numFmtId="7" fontId="7" fillId="0" borderId="0" xfId="0" applyNumberFormat="1" applyFont="1"/>
    <xf numFmtId="0" fontId="5" fillId="0" borderId="0" xfId="6" quotePrefix="1" applyFont="1" applyAlignment="1">
      <alignment horizontal="center"/>
    </xf>
    <xf numFmtId="0" fontId="5" fillId="0" borderId="0" xfId="6" applyFont="1" applyAlignment="1">
      <alignment horizontal="left"/>
    </xf>
    <xf numFmtId="165" fontId="3" fillId="0" borderId="0" xfId="3" applyNumberFormat="1" applyFont="1" applyAlignment="1">
      <alignment horizontal="center"/>
    </xf>
    <xf numFmtId="5" fontId="5" fillId="0" borderId="0" xfId="0" applyNumberFormat="1" applyFont="1" applyAlignment="1">
      <alignment horizontal="center"/>
    </xf>
    <xf numFmtId="5" fontId="7" fillId="0" borderId="0" xfId="0" applyNumberFormat="1" applyFont="1" applyAlignment="1">
      <alignment horizontal="center"/>
    </xf>
    <xf numFmtId="5" fontId="7" fillId="0" borderId="0" xfId="2" applyNumberFormat="1" applyFont="1" applyBorder="1"/>
    <xf numFmtId="5" fontId="7" fillId="0" borderId="0" xfId="2" applyNumberFormat="1" applyFont="1" applyFill="1" applyBorder="1" applyAlignment="1"/>
    <xf numFmtId="5" fontId="7" fillId="0" borderId="0" xfId="2" applyNumberFormat="1" applyFont="1" applyFill="1" applyBorder="1"/>
    <xf numFmtId="5" fontId="7" fillId="0" borderId="0" xfId="2" quotePrefix="1" applyNumberFormat="1" applyFont="1" applyFill="1" applyBorder="1" applyAlignment="1">
      <alignment horizontal="centerContinuous" wrapText="1"/>
    </xf>
    <xf numFmtId="5" fontId="7" fillId="0" borderId="0" xfId="2" applyNumberFormat="1" applyFont="1" applyFill="1" applyBorder="1" applyAlignment="1">
      <alignment horizontal="centerContinuous"/>
    </xf>
    <xf numFmtId="5" fontId="3" fillId="0" borderId="0" xfId="2" applyNumberFormat="1" applyFont="1" applyFill="1" applyBorder="1" applyAlignment="1">
      <alignment horizontal="center"/>
    </xf>
    <xf numFmtId="5" fontId="3" fillId="0" borderId="0" xfId="2" applyNumberFormat="1" applyFont="1" applyFill="1" applyBorder="1"/>
    <xf numFmtId="5" fontId="5" fillId="0" borderId="0" xfId="2" applyNumberFormat="1" applyFont="1" applyFill="1" applyBorder="1"/>
    <xf numFmtId="5" fontId="7" fillId="0" borderId="0" xfId="2" applyNumberFormat="1" applyFont="1" applyFill="1" applyBorder="1" applyAlignment="1">
      <alignment horizontal="center"/>
    </xf>
    <xf numFmtId="5" fontId="7" fillId="0" borderId="0" xfId="0" applyNumberFormat="1" applyFont="1"/>
    <xf numFmtId="5" fontId="5" fillId="0" borderId="0" xfId="0" applyNumberFormat="1" applyFont="1" applyAlignment="1">
      <alignment horizontal="right"/>
    </xf>
    <xf numFmtId="5" fontId="10" fillId="0" borderId="0" xfId="0" applyNumberFormat="1" applyFont="1" applyAlignment="1">
      <alignment horizontal="right"/>
    </xf>
    <xf numFmtId="5" fontId="5" fillId="0" borderId="0" xfId="0" applyNumberFormat="1" applyFont="1" applyBorder="1"/>
    <xf numFmtId="5" fontId="7" fillId="0" borderId="0" xfId="0" applyNumberFormat="1" applyFont="1" applyBorder="1" applyAlignment="1">
      <alignment horizontal="center"/>
    </xf>
    <xf numFmtId="5" fontId="7" fillId="0" borderId="0" xfId="0" applyNumberFormat="1" applyFont="1" applyBorder="1"/>
    <xf numFmtId="5" fontId="3" fillId="0" borderId="0" xfId="0" applyNumberFormat="1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5" fontId="11" fillId="0" borderId="0" xfId="2" applyNumberFormat="1" applyFont="1" applyBorder="1"/>
    <xf numFmtId="5" fontId="12" fillId="0" borderId="0" xfId="2" applyNumberFormat="1" applyFont="1" applyFill="1" applyBorder="1" applyAlignment="1">
      <alignment horizontal="right"/>
    </xf>
    <xf numFmtId="165" fontId="5" fillId="0" borderId="0" xfId="6" quotePrefix="1" applyNumberFormat="1" applyFont="1" applyAlignment="1">
      <alignment horizontal="center"/>
    </xf>
    <xf numFmtId="5" fontId="7" fillId="0" borderId="0" xfId="0" applyNumberFormat="1" applyFont="1" applyAlignment="1">
      <alignment horizontal="right"/>
    </xf>
    <xf numFmtId="5" fontId="11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3" fillId="0" borderId="0" xfId="3" applyFont="1" applyAlignment="1">
      <alignment wrapText="1"/>
    </xf>
    <xf numFmtId="7" fontId="3" fillId="0" borderId="0" xfId="3" applyNumberFormat="1" applyFont="1"/>
    <xf numFmtId="0" fontId="3" fillId="0" borderId="0" xfId="3" applyFont="1" applyAlignment="1">
      <alignment horizontal="left"/>
    </xf>
    <xf numFmtId="0" fontId="3" fillId="0" borderId="0" xfId="3" applyFont="1" applyBorder="1" applyAlignment="1">
      <alignment horizontal="center" wrapText="1"/>
    </xf>
    <xf numFmtId="5" fontId="7" fillId="0" borderId="0" xfId="7" applyNumberFormat="1" applyFont="1"/>
    <xf numFmtId="0" fontId="3" fillId="0" borderId="1" xfId="3" applyFont="1" applyBorder="1" applyAlignment="1">
      <alignment horizontal="centerContinuous"/>
    </xf>
    <xf numFmtId="5" fontId="3" fillId="0" borderId="0" xfId="0" applyNumberFormat="1" applyFont="1" applyFill="1"/>
    <xf numFmtId="0" fontId="3" fillId="0" borderId="0" xfId="0" applyFont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12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4" fontId="3" fillId="0" borderId="0" xfId="0" applyNumberFormat="1" applyFont="1"/>
    <xf numFmtId="165" fontId="3" fillId="0" borderId="0" xfId="0" applyNumberFormat="1" applyFont="1"/>
    <xf numFmtId="0" fontId="3" fillId="0" borderId="0" xfId="3" applyFont="1" applyAlignment="1">
      <alignment horizontal="centerContinuous"/>
    </xf>
    <xf numFmtId="0" fontId="5" fillId="0" borderId="0" xfId="0" quotePrefix="1" applyFont="1" applyAlignment="1">
      <alignment horizontal="center"/>
    </xf>
    <xf numFmtId="0" fontId="7" fillId="0" borderId="0" xfId="0" quotePrefix="1" applyFont="1" applyAlignment="1">
      <alignment horizontal="center"/>
    </xf>
    <xf numFmtId="5" fontId="11" fillId="0" borderId="0" xfId="2" applyNumberFormat="1" applyFont="1" applyFill="1" applyBorder="1"/>
    <xf numFmtId="0" fontId="3" fillId="0" borderId="0" xfId="0" applyFont="1" applyAlignment="1">
      <alignment horizontal="left" indent="1"/>
    </xf>
    <xf numFmtId="5" fontId="3" fillId="0" borderId="0" xfId="2" applyNumberFormat="1" applyFont="1"/>
    <xf numFmtId="5" fontId="12" fillId="0" borderId="0" xfId="1" applyNumberFormat="1" applyFont="1" applyBorder="1"/>
    <xf numFmtId="5" fontId="3" fillId="0" borderId="0" xfId="1" applyNumberFormat="1" applyFont="1"/>
    <xf numFmtId="0" fontId="3" fillId="0" borderId="1" xfId="0" applyFont="1" applyBorder="1"/>
    <xf numFmtId="0" fontId="3" fillId="0" borderId="0" xfId="0" applyFont="1" applyAlignment="1">
      <alignment horizontal="right"/>
    </xf>
    <xf numFmtId="5" fontId="3" fillId="0" borderId="0" xfId="3" applyNumberFormat="1" applyFont="1"/>
    <xf numFmtId="0" fontId="12" fillId="0" borderId="0" xfId="3" applyFont="1" applyBorder="1" applyAlignment="1">
      <alignment horizontal="center" wrapText="1"/>
    </xf>
    <xf numFmtId="0" fontId="3" fillId="0" borderId="0" xfId="3" quotePrefix="1" applyFont="1" applyBorder="1" applyAlignment="1">
      <alignment horizontal="center" wrapText="1"/>
    </xf>
    <xf numFmtId="0" fontId="5" fillId="0" borderId="0" xfId="0" quotePrefix="1" applyFont="1" applyBorder="1" applyAlignment="1">
      <alignment horizontal="center"/>
    </xf>
    <xf numFmtId="0" fontId="7" fillId="0" borderId="0" xfId="0" quotePrefix="1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Fill="1"/>
    <xf numFmtId="166" fontId="3" fillId="0" borderId="0" xfId="10" applyNumberFormat="1" applyFont="1"/>
    <xf numFmtId="5" fontId="3" fillId="0" borderId="0" xfId="0" applyNumberFormat="1" applyFont="1" applyAlignment="1">
      <alignment horizontal="center"/>
    </xf>
    <xf numFmtId="17" fontId="3" fillId="0" borderId="0" xfId="3" applyNumberFormat="1" applyFont="1"/>
    <xf numFmtId="5" fontId="13" fillId="0" borderId="0" xfId="8" applyNumberFormat="1" applyFont="1" applyFill="1" applyBorder="1"/>
    <xf numFmtId="5" fontId="7" fillId="0" borderId="0" xfId="7" applyNumberFormat="1" applyFont="1" applyFill="1"/>
    <xf numFmtId="0" fontId="3" fillId="0" borderId="0" xfId="3" applyFont="1" applyFill="1"/>
    <xf numFmtId="166" fontId="11" fillId="0" borderId="0" xfId="9" applyNumberFormat="1" applyFont="1" applyFill="1" applyBorder="1"/>
    <xf numFmtId="5" fontId="7" fillId="0" borderId="0" xfId="8" applyNumberFormat="1" applyFont="1" applyFill="1" applyBorder="1"/>
    <xf numFmtId="166" fontId="7" fillId="0" borderId="0" xfId="9" applyNumberFormat="1" applyFont="1" applyFill="1" applyBorder="1"/>
    <xf numFmtId="5" fontId="11" fillId="0" borderId="0" xfId="8" applyNumberFormat="1" applyFont="1" applyFill="1" applyBorder="1"/>
    <xf numFmtId="5" fontId="7" fillId="0" borderId="0" xfId="7" applyNumberFormat="1" applyFont="1" applyFill="1" applyBorder="1"/>
    <xf numFmtId="43" fontId="3" fillId="0" borderId="0" xfId="0" applyNumberFormat="1" applyFont="1"/>
    <xf numFmtId="43" fontId="3" fillId="0" borderId="0" xfId="1" applyFont="1"/>
    <xf numFmtId="0" fontId="3" fillId="0" borderId="0" xfId="0" applyFont="1" applyAlignment="1">
      <alignment horizontal="center"/>
    </xf>
    <xf numFmtId="0" fontId="3" fillId="0" borderId="0" xfId="0" applyFont="1" applyFill="1" applyBorder="1" applyAlignment="1"/>
    <xf numFmtId="0" fontId="3" fillId="0" borderId="0" xfId="0" quotePrefix="1" applyFont="1" applyAlignment="1">
      <alignment horizontal="center" wrapText="1"/>
    </xf>
    <xf numFmtId="0" fontId="12" fillId="0" borderId="0" xfId="0" applyFont="1" applyAlignment="1">
      <alignment horizontal="center" wrapText="1"/>
    </xf>
    <xf numFmtId="165" fontId="3" fillId="0" borderId="0" xfId="3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5" fontId="5" fillId="0" borderId="0" xfId="0" applyNumberFormat="1" applyFont="1"/>
    <xf numFmtId="0" fontId="3" fillId="0" borderId="0" xfId="3" applyFont="1" applyAlignment="1">
      <alignment horizontal="center" wrapText="1"/>
    </xf>
    <xf numFmtId="0" fontId="3" fillId="0" borderId="0" xfId="3" quotePrefix="1" applyFont="1" applyAlignment="1">
      <alignment horizontal="center" wrapText="1"/>
    </xf>
    <xf numFmtId="0" fontId="12" fillId="0" borderId="0" xfId="3" applyFont="1" applyAlignment="1">
      <alignment horizontal="center" wrapText="1"/>
    </xf>
    <xf numFmtId="0" fontId="3" fillId="0" borderId="1" xfId="0" applyFont="1" applyFill="1" applyBorder="1"/>
  </cellXfs>
  <cellStyles count="11">
    <cellStyle name="Comma" xfId="1" builtinId="3"/>
    <cellStyle name="Comma 2" xfId="8" xr:uid="{3B300CF3-7A64-4CDE-988A-EAF20856AE47}"/>
    <cellStyle name="Currency" xfId="2" builtinId="4"/>
    <cellStyle name="Currency 2" xfId="7" xr:uid="{C065875E-CBD0-45A1-8BAF-17808664C386}"/>
    <cellStyle name="Normal" xfId="0" builtinId="0"/>
    <cellStyle name="Normal - Style2" xfId="6" xr:uid="{2F9116B2-A619-4A18-B908-5A746D3F436B}"/>
    <cellStyle name="Normal 2" xfId="5" xr:uid="{417B41B0-D8CE-4B0E-9151-57C7BDB31302}"/>
    <cellStyle name="Normal 3" xfId="3" xr:uid="{0C0130A4-80F6-4A19-B573-67947BD0D049}"/>
    <cellStyle name="Normal_NECO CWC 2005" xfId="4" xr:uid="{C76F69C3-AA93-4A7B-9BC6-7BBAE377B196}"/>
    <cellStyle name="Percent" xfId="10" builtinId="5"/>
    <cellStyle name="Percent 2" xfId="9" xr:uid="{E4F4A612-2623-4AFF-B9B0-CCDF14D8ED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96A85-FB68-48DB-8F7A-A2F073FB56D8}">
  <sheetPr>
    <pageSetUpPr fitToPage="1"/>
  </sheetPr>
  <dimension ref="A1:C35"/>
  <sheetViews>
    <sheetView tabSelected="1" view="pageBreakPreview" zoomScale="60" zoomScaleNormal="100" workbookViewId="0">
      <selection activeCell="N35" sqref="N35"/>
    </sheetView>
  </sheetViews>
  <sheetFormatPr defaultColWidth="9.140625" defaultRowHeight="15" outlineLevelRow="1" x14ac:dyDescent="0.25"/>
  <cols>
    <col min="1" max="1" width="9.140625" style="14"/>
    <col min="2" max="2" width="73" style="14" customWidth="1"/>
    <col min="3" max="3" width="14.42578125" style="14" customWidth="1"/>
    <col min="4" max="4" width="9.140625" style="14"/>
    <col min="5" max="5" width="20.85546875" style="14" bestFit="1" customWidth="1"/>
    <col min="6" max="6" width="16.42578125" style="14" bestFit="1" customWidth="1"/>
    <col min="7" max="16384" width="9.140625" style="14"/>
  </cols>
  <sheetData>
    <row r="1" spans="1:3" x14ac:dyDescent="0.25">
      <c r="C1" s="3" t="s">
        <v>82</v>
      </c>
    </row>
    <row r="2" spans="1:3" x14ac:dyDescent="0.25">
      <c r="C2" s="3" t="s">
        <v>125</v>
      </c>
    </row>
    <row r="3" spans="1:3" x14ac:dyDescent="0.25">
      <c r="C3" s="72" t="s">
        <v>126</v>
      </c>
    </row>
    <row r="4" spans="1:3" x14ac:dyDescent="0.25">
      <c r="C4" s="72" t="s">
        <v>98</v>
      </c>
    </row>
    <row r="6" spans="1:3" x14ac:dyDescent="0.25">
      <c r="B6" s="56" t="s">
        <v>82</v>
      </c>
      <c r="C6" s="56"/>
    </row>
    <row r="10" spans="1:3" outlineLevel="1" x14ac:dyDescent="0.25">
      <c r="B10" s="103" t="s">
        <v>87</v>
      </c>
      <c r="C10" s="79"/>
    </row>
    <row r="11" spans="1:3" outlineLevel="1" x14ac:dyDescent="0.25">
      <c r="B11" s="79"/>
      <c r="C11" s="79"/>
    </row>
    <row r="12" spans="1:3" outlineLevel="1" x14ac:dyDescent="0.25">
      <c r="A12" s="12">
        <v>-1</v>
      </c>
      <c r="B12" s="79" t="s">
        <v>84</v>
      </c>
      <c r="C12" s="55">
        <f>+'p4_MECO COs'!K63</f>
        <v>130065414.9600001</v>
      </c>
    </row>
    <row r="13" spans="1:3" outlineLevel="1" x14ac:dyDescent="0.25">
      <c r="A13" s="12"/>
      <c r="B13" s="79"/>
      <c r="C13" s="55"/>
    </row>
    <row r="14" spans="1:3" outlineLevel="1" x14ac:dyDescent="0.25">
      <c r="A14" s="12">
        <f>+A12-1</f>
        <v>-2</v>
      </c>
      <c r="B14" s="79" t="s">
        <v>85</v>
      </c>
      <c r="C14" s="55">
        <f>+'p4_MECO COs'!L63</f>
        <v>103844069.95254895</v>
      </c>
    </row>
    <row r="15" spans="1:3" outlineLevel="1" x14ac:dyDescent="0.25">
      <c r="A15" s="6"/>
      <c r="B15" s="79"/>
      <c r="C15" s="55"/>
    </row>
    <row r="16" spans="1:3" outlineLevel="1" x14ac:dyDescent="0.25">
      <c r="A16" s="12">
        <f>+A14-1</f>
        <v>-3</v>
      </c>
      <c r="B16" s="79" t="s">
        <v>86</v>
      </c>
      <c r="C16" s="55">
        <f>IF(C12&gt;C14,C12-C14,0)</f>
        <v>26221345.007451147</v>
      </c>
    </row>
    <row r="17" spans="1:3" x14ac:dyDescent="0.25">
      <c r="A17" s="6"/>
    </row>
    <row r="20" spans="1:3" x14ac:dyDescent="0.25">
      <c r="B20" s="71" t="s">
        <v>18</v>
      </c>
    </row>
    <row r="22" spans="1:3" x14ac:dyDescent="0.25">
      <c r="A22" s="12">
        <f>+A16-1</f>
        <v>-4</v>
      </c>
      <c r="B22" s="14" t="s">
        <v>84</v>
      </c>
      <c r="C22" s="15">
        <f>+'p7_BOS COs'!$J$63</f>
        <v>70509490.418922067</v>
      </c>
    </row>
    <row r="23" spans="1:3" x14ac:dyDescent="0.25">
      <c r="A23" s="12"/>
    </row>
    <row r="24" spans="1:3" x14ac:dyDescent="0.25">
      <c r="A24" s="12">
        <f>+A22-1</f>
        <v>-5</v>
      </c>
      <c r="B24" s="14" t="s">
        <v>85</v>
      </c>
      <c r="C24" s="15">
        <f>+'p7_BOS COs'!K63</f>
        <v>70814617.893136039</v>
      </c>
    </row>
    <row r="25" spans="1:3" x14ac:dyDescent="0.25">
      <c r="A25" s="12"/>
      <c r="C25" s="15"/>
    </row>
    <row r="26" spans="1:3" x14ac:dyDescent="0.25">
      <c r="A26" s="12">
        <f>+A24-1</f>
        <v>-6</v>
      </c>
      <c r="B26" s="14" t="s">
        <v>86</v>
      </c>
      <c r="C26" s="15">
        <f>IF(C22&gt;C24,C22-C24,0)</f>
        <v>0</v>
      </c>
    </row>
    <row r="30" spans="1:3" x14ac:dyDescent="0.25">
      <c r="A30" s="60">
        <f>+A12</f>
        <v>-1</v>
      </c>
      <c r="B30" s="14" t="s">
        <v>159</v>
      </c>
    </row>
    <row r="31" spans="1:3" x14ac:dyDescent="0.25">
      <c r="A31" s="60">
        <f>+A14</f>
        <v>-2</v>
      </c>
      <c r="B31" s="14" t="s">
        <v>160</v>
      </c>
    </row>
    <row r="32" spans="1:3" x14ac:dyDescent="0.25">
      <c r="A32" s="60">
        <f>+A16</f>
        <v>-3</v>
      </c>
      <c r="B32" s="14" t="s">
        <v>99</v>
      </c>
    </row>
    <row r="33" spans="1:2" x14ac:dyDescent="0.25">
      <c r="A33" s="60">
        <f>+A22</f>
        <v>-4</v>
      </c>
      <c r="B33" s="14" t="s">
        <v>161</v>
      </c>
    </row>
    <row r="34" spans="1:2" x14ac:dyDescent="0.25">
      <c r="A34" s="60">
        <f>A24</f>
        <v>-5</v>
      </c>
      <c r="B34" s="14" t="s">
        <v>162</v>
      </c>
    </row>
    <row r="35" spans="1:2" x14ac:dyDescent="0.25">
      <c r="A35" s="60">
        <f>A26</f>
        <v>-6</v>
      </c>
      <c r="B35" s="14" t="s">
        <v>100</v>
      </c>
    </row>
  </sheetData>
  <pageMargins left="0.5" right="0.5" top="0.5" bottom="0.5" header="0.3" footer="0.3"/>
  <pageSetup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4745C-824A-4C52-BD36-5A640B98F4D2}">
  <sheetPr>
    <pageSetUpPr fitToPage="1"/>
  </sheetPr>
  <dimension ref="A1:H54"/>
  <sheetViews>
    <sheetView view="pageBreakPreview" zoomScale="60" zoomScaleNormal="100" workbookViewId="0">
      <selection activeCell="N35" sqref="N35"/>
    </sheetView>
  </sheetViews>
  <sheetFormatPr defaultColWidth="9.140625" defaultRowHeight="15" x14ac:dyDescent="0.25"/>
  <cols>
    <col min="1" max="1" width="6.42578125" style="1" customWidth="1"/>
    <col min="2" max="2" width="62.85546875" style="2" customWidth="1"/>
    <col min="3" max="3" width="15.7109375" style="2" customWidth="1"/>
    <col min="4" max="4" width="0.85546875" style="2" customWidth="1"/>
    <col min="5" max="5" width="15.7109375" style="2" customWidth="1"/>
    <col min="6" max="6" width="0.85546875" style="2" customWidth="1"/>
    <col min="7" max="8" width="15.7109375" style="2" customWidth="1"/>
    <col min="9" max="16384" width="9.140625" style="2"/>
  </cols>
  <sheetData>
    <row r="1" spans="1:8" x14ac:dyDescent="0.25">
      <c r="E1" s="3"/>
      <c r="G1" s="3" t="s">
        <v>82</v>
      </c>
      <c r="H1" s="3"/>
    </row>
    <row r="2" spans="1:8" x14ac:dyDescent="0.25">
      <c r="E2" s="3"/>
      <c r="G2" s="3" t="s">
        <v>125</v>
      </c>
      <c r="H2" s="3"/>
    </row>
    <row r="3" spans="1:8" x14ac:dyDescent="0.25">
      <c r="E3" s="4"/>
      <c r="G3" s="3" t="s">
        <v>126</v>
      </c>
      <c r="H3" s="3"/>
    </row>
    <row r="4" spans="1:8" x14ac:dyDescent="0.25">
      <c r="E4" s="5"/>
      <c r="G4" s="3" t="s">
        <v>97</v>
      </c>
      <c r="H4" s="3"/>
    </row>
    <row r="6" spans="1:8" x14ac:dyDescent="0.25">
      <c r="B6" s="63" t="s">
        <v>19</v>
      </c>
      <c r="C6" s="63"/>
      <c r="D6" s="63"/>
      <c r="E6" s="63"/>
      <c r="F6" s="63"/>
      <c r="G6" s="63"/>
      <c r="H6" s="63"/>
    </row>
    <row r="7" spans="1:8" x14ac:dyDescent="0.25">
      <c r="B7" s="63" t="s">
        <v>20</v>
      </c>
      <c r="C7" s="63"/>
      <c r="D7" s="63"/>
      <c r="E7" s="63"/>
      <c r="F7" s="63"/>
      <c r="G7" s="63"/>
      <c r="H7" s="63"/>
    </row>
    <row r="8" spans="1:8" x14ac:dyDescent="0.25">
      <c r="A8" s="2"/>
    </row>
    <row r="9" spans="1:8" x14ac:dyDescent="0.25">
      <c r="A9" s="6"/>
      <c r="B9" s="7"/>
      <c r="C9" s="8">
        <v>2017</v>
      </c>
      <c r="D9" s="9"/>
      <c r="E9" s="8">
        <v>2018</v>
      </c>
      <c r="F9" s="9"/>
      <c r="G9" s="10">
        <v>2019</v>
      </c>
      <c r="H9" s="11"/>
    </row>
    <row r="10" spans="1:8" x14ac:dyDescent="0.25">
      <c r="A10" s="6"/>
      <c r="B10" s="7"/>
      <c r="C10" s="64" t="s">
        <v>23</v>
      </c>
      <c r="D10" s="9"/>
      <c r="E10" s="64" t="s">
        <v>24</v>
      </c>
      <c r="F10" s="9"/>
      <c r="G10" s="65" t="s">
        <v>30</v>
      </c>
      <c r="H10" s="65"/>
    </row>
    <row r="11" spans="1:8" x14ac:dyDescent="0.25">
      <c r="A11" s="6"/>
      <c r="B11" s="7"/>
      <c r="C11" s="9"/>
      <c r="D11" s="9"/>
      <c r="E11" s="9"/>
      <c r="F11" s="9"/>
      <c r="G11" s="11"/>
      <c r="H11" s="11"/>
    </row>
    <row r="12" spans="1:8" x14ac:dyDescent="0.25">
      <c r="A12" s="12">
        <v>-1</v>
      </c>
      <c r="B12" s="13" t="s">
        <v>43</v>
      </c>
      <c r="C12" s="34">
        <v>98635261.87000002</v>
      </c>
      <c r="D12" s="22"/>
      <c r="E12" s="34">
        <v>115585671.06000002</v>
      </c>
      <c r="F12" s="22"/>
      <c r="G12" s="45">
        <v>123043135.61</v>
      </c>
      <c r="H12" s="45"/>
    </row>
    <row r="13" spans="1:8" x14ac:dyDescent="0.25">
      <c r="A13" s="12"/>
      <c r="B13" s="13"/>
      <c r="C13" s="22"/>
      <c r="D13" s="22"/>
      <c r="E13" s="34"/>
      <c r="F13" s="22"/>
      <c r="G13" s="23"/>
      <c r="H13" s="23"/>
    </row>
    <row r="14" spans="1:8" x14ac:dyDescent="0.25">
      <c r="A14" s="12">
        <f>+A12-1</f>
        <v>-2</v>
      </c>
      <c r="B14" s="13" t="s">
        <v>44</v>
      </c>
      <c r="C14" s="34">
        <v>59196944.469999991</v>
      </c>
      <c r="D14" s="22"/>
      <c r="E14" s="34">
        <v>59661163.719999999</v>
      </c>
      <c r="F14" s="22"/>
      <c r="G14" s="45">
        <v>68223208.239999995</v>
      </c>
      <c r="H14" s="45"/>
    </row>
    <row r="15" spans="1:8" x14ac:dyDescent="0.25">
      <c r="A15" s="6"/>
      <c r="B15" s="13"/>
      <c r="C15" s="34"/>
      <c r="D15" s="22"/>
      <c r="E15" s="34"/>
      <c r="F15" s="22"/>
      <c r="G15" s="23"/>
      <c r="H15" s="23"/>
    </row>
    <row r="16" spans="1:8" x14ac:dyDescent="0.25">
      <c r="A16" s="12">
        <f>+A14-1</f>
        <v>-3</v>
      </c>
      <c r="B16" s="13" t="s">
        <v>45</v>
      </c>
      <c r="C16" s="35">
        <v>115585671.06000002</v>
      </c>
      <c r="D16" s="22"/>
      <c r="E16" s="35">
        <v>123043135.61</v>
      </c>
      <c r="F16" s="22"/>
      <c r="G16" s="46">
        <v>133983933.68000001</v>
      </c>
      <c r="H16" s="46"/>
    </row>
    <row r="17" spans="1:8" x14ac:dyDescent="0.25">
      <c r="A17" s="6"/>
      <c r="B17" s="13"/>
      <c r="D17" s="22"/>
      <c r="E17" s="22"/>
      <c r="F17" s="22"/>
      <c r="G17" s="23"/>
      <c r="H17" s="23"/>
    </row>
    <row r="18" spans="1:8" x14ac:dyDescent="0.25">
      <c r="A18" s="12">
        <f>+A16-1</f>
        <v>-4</v>
      </c>
      <c r="B18" s="6" t="s">
        <v>32</v>
      </c>
      <c r="C18" s="24">
        <f>+C12+C14-C16</f>
        <v>42246535.279999986</v>
      </c>
      <c r="D18" s="24"/>
      <c r="E18" s="24">
        <f>+E12+E14-E16</f>
        <v>52203699.170000032</v>
      </c>
      <c r="F18" s="24"/>
      <c r="G18" s="24">
        <f>+G12+G14-G16</f>
        <v>57282410.169999987</v>
      </c>
      <c r="H18" s="24"/>
    </row>
    <row r="19" spans="1:8" x14ac:dyDescent="0.25">
      <c r="A19" s="12"/>
      <c r="B19" s="6"/>
      <c r="C19" s="26"/>
      <c r="D19" s="26"/>
      <c r="E19" s="26"/>
      <c r="F19" s="26"/>
      <c r="G19" s="26"/>
      <c r="H19" s="26"/>
    </row>
    <row r="20" spans="1:8" x14ac:dyDescent="0.25">
      <c r="A20" s="12">
        <f>+A18-1</f>
        <v>-5</v>
      </c>
      <c r="B20" s="6" t="s">
        <v>33</v>
      </c>
      <c r="C20" s="42">
        <v>4330341</v>
      </c>
      <c r="D20" s="42"/>
      <c r="E20" s="66">
        <v>7606761</v>
      </c>
      <c r="F20" s="42"/>
      <c r="G20" s="66">
        <v>7232666</v>
      </c>
      <c r="H20" s="66"/>
    </row>
    <row r="21" spans="1:8" x14ac:dyDescent="0.25">
      <c r="A21" s="12"/>
      <c r="B21" s="6"/>
      <c r="C21" s="25"/>
      <c r="D21" s="25"/>
      <c r="E21" s="25"/>
      <c r="F21" s="25"/>
      <c r="G21" s="25"/>
      <c r="H21" s="25"/>
    </row>
    <row r="22" spans="1:8" x14ac:dyDescent="0.25">
      <c r="A22" s="12">
        <f>+A20-1</f>
        <v>-6</v>
      </c>
      <c r="B22" s="6" t="s">
        <v>34</v>
      </c>
      <c r="C22" s="26">
        <f>+C18-C20</f>
        <v>37916194.279999986</v>
      </c>
      <c r="D22" s="26"/>
      <c r="E22" s="26">
        <f>+E18-E20</f>
        <v>44596938.170000032</v>
      </c>
      <c r="F22" s="26"/>
      <c r="G22" s="26">
        <f>+G18-G20</f>
        <v>50049744.169999987</v>
      </c>
      <c r="H22" s="26"/>
    </row>
    <row r="23" spans="1:8" x14ac:dyDescent="0.25">
      <c r="A23" s="12"/>
      <c r="B23" s="6"/>
      <c r="C23" s="27"/>
      <c r="D23" s="28"/>
      <c r="E23" s="28"/>
      <c r="F23" s="27"/>
      <c r="G23" s="27"/>
      <c r="H23" s="27"/>
    </row>
    <row r="24" spans="1:8" x14ac:dyDescent="0.25">
      <c r="A24" s="12">
        <f>+A22-1</f>
        <v>-7</v>
      </c>
      <c r="B24" s="6" t="s">
        <v>35</v>
      </c>
      <c r="C24" s="26">
        <v>8605338</v>
      </c>
      <c r="D24" s="26"/>
      <c r="E24" s="26">
        <v>10802590</v>
      </c>
      <c r="F24" s="26"/>
      <c r="G24" s="26">
        <v>12250716</v>
      </c>
      <c r="H24" s="26"/>
    </row>
    <row r="25" spans="1:8" x14ac:dyDescent="0.25">
      <c r="A25" s="12"/>
      <c r="B25" s="6"/>
      <c r="C25" s="29"/>
      <c r="D25" s="30"/>
      <c r="E25" s="29"/>
      <c r="F25" s="30"/>
      <c r="G25" s="29"/>
      <c r="H25" s="29"/>
    </row>
    <row r="26" spans="1:8" x14ac:dyDescent="0.25">
      <c r="A26" s="12">
        <f>+A24-1</f>
        <v>-8</v>
      </c>
      <c r="B26" s="6" t="s">
        <v>36</v>
      </c>
      <c r="C26" s="43">
        <v>8961378</v>
      </c>
      <c r="D26" s="43"/>
      <c r="E26" s="43">
        <v>11056778</v>
      </c>
      <c r="F26" s="43"/>
      <c r="G26" s="43">
        <v>12402457</v>
      </c>
      <c r="H26" s="43"/>
    </row>
    <row r="27" spans="1:8" x14ac:dyDescent="0.25">
      <c r="A27" s="12"/>
      <c r="B27" s="13"/>
      <c r="C27" s="31"/>
      <c r="D27" s="31"/>
      <c r="E27" s="31"/>
      <c r="F27" s="32"/>
      <c r="G27" s="31"/>
      <c r="H27" s="31"/>
    </row>
    <row r="28" spans="1:8" x14ac:dyDescent="0.25">
      <c r="A28" s="12">
        <f>+A26-1</f>
        <v>-9</v>
      </c>
      <c r="B28" s="13" t="s">
        <v>37</v>
      </c>
      <c r="C28" s="31">
        <f>+C22-C24-C26</f>
        <v>20349478.279999986</v>
      </c>
      <c r="D28" s="31"/>
      <c r="E28" s="31">
        <f>+E22-E24-E26</f>
        <v>22737570.170000032</v>
      </c>
      <c r="F28" s="32"/>
      <c r="G28" s="31">
        <f>+G22-G24-G26</f>
        <v>25396571.169999987</v>
      </c>
      <c r="H28" s="31"/>
    </row>
    <row r="29" spans="1:8" x14ac:dyDescent="0.25">
      <c r="A29" s="12"/>
      <c r="B29" s="13"/>
      <c r="C29" s="99"/>
      <c r="D29" s="99"/>
      <c r="E29" s="99"/>
      <c r="F29" s="23"/>
      <c r="G29" s="99"/>
      <c r="H29" s="99"/>
    </row>
    <row r="30" spans="1:8" x14ac:dyDescent="0.25">
      <c r="A30" s="12">
        <f>+A28-1</f>
        <v>-10</v>
      </c>
      <c r="B30" s="6" t="s">
        <v>38</v>
      </c>
      <c r="C30" s="33"/>
      <c r="D30" s="33"/>
      <c r="E30" s="99"/>
      <c r="F30" s="23"/>
      <c r="G30" s="99">
        <f>AVERAGE(C28:G28)</f>
        <v>22827873.206666667</v>
      </c>
      <c r="H30" s="99"/>
    </row>
    <row r="31" spans="1:8" x14ac:dyDescent="0.25">
      <c r="A31" s="6"/>
      <c r="B31" s="14"/>
      <c r="C31" s="15"/>
      <c r="D31" s="14"/>
      <c r="E31" s="15"/>
      <c r="F31" s="98"/>
      <c r="G31" s="15"/>
      <c r="H31" s="15"/>
    </row>
    <row r="32" spans="1:8" x14ac:dyDescent="0.25">
      <c r="A32" s="12">
        <f>+A30-1</f>
        <v>-11</v>
      </c>
      <c r="B32" s="13" t="s">
        <v>50</v>
      </c>
      <c r="C32" s="6"/>
      <c r="D32" s="6"/>
      <c r="E32" s="6"/>
      <c r="F32" s="11"/>
      <c r="G32" s="33">
        <v>25162074</v>
      </c>
      <c r="H32" s="33"/>
    </row>
    <row r="33" spans="1:8" x14ac:dyDescent="0.25">
      <c r="A33" s="47"/>
      <c r="B33" s="6"/>
      <c r="C33" s="18"/>
      <c r="D33" s="6"/>
      <c r="E33" s="18"/>
      <c r="F33" s="11"/>
      <c r="G33" s="18"/>
      <c r="H33" s="18"/>
    </row>
    <row r="34" spans="1:8" x14ac:dyDescent="0.25">
      <c r="A34" s="48">
        <f>+A32-1</f>
        <v>-12</v>
      </c>
      <c r="B34" s="6" t="s">
        <v>70</v>
      </c>
      <c r="C34" s="18"/>
      <c r="D34" s="6"/>
      <c r="E34" s="18"/>
      <c r="F34" s="11"/>
      <c r="G34" s="33">
        <f>MAX(G30,G32)</f>
        <v>25162074</v>
      </c>
      <c r="H34" s="33"/>
    </row>
    <row r="35" spans="1:8" x14ac:dyDescent="0.25">
      <c r="A35" s="47"/>
      <c r="B35" s="6"/>
      <c r="C35" s="18"/>
      <c r="D35" s="6"/>
      <c r="E35" s="18"/>
      <c r="F35" s="11"/>
      <c r="G35" s="18"/>
      <c r="H35" s="18"/>
    </row>
    <row r="36" spans="1:8" x14ac:dyDescent="0.25">
      <c r="A36" s="17"/>
      <c r="B36" s="6"/>
      <c r="C36" s="18"/>
      <c r="D36" s="6"/>
      <c r="E36" s="18"/>
      <c r="F36" s="11"/>
      <c r="G36" s="18"/>
      <c r="H36" s="18"/>
    </row>
    <row r="37" spans="1:8" x14ac:dyDescent="0.25">
      <c r="A37" s="17"/>
      <c r="B37" s="6"/>
      <c r="C37" s="18"/>
      <c r="D37" s="6"/>
      <c r="E37" s="18"/>
      <c r="F37" s="11"/>
      <c r="G37" s="18"/>
      <c r="H37" s="18"/>
    </row>
    <row r="38" spans="1:8" x14ac:dyDescent="0.25">
      <c r="A38" s="19" t="s">
        <v>39</v>
      </c>
      <c r="B38" s="20" t="s">
        <v>129</v>
      </c>
      <c r="C38" s="6"/>
      <c r="D38" s="6"/>
      <c r="E38" s="6"/>
      <c r="F38" s="11"/>
      <c r="G38" s="6"/>
      <c r="H38" s="6"/>
    </row>
    <row r="39" spans="1:8" x14ac:dyDescent="0.25">
      <c r="A39" s="19"/>
      <c r="B39" s="20" t="s">
        <v>130</v>
      </c>
      <c r="C39" s="6"/>
      <c r="D39" s="6"/>
      <c r="E39" s="6"/>
      <c r="F39" s="11"/>
      <c r="G39" s="6"/>
      <c r="H39" s="6"/>
    </row>
    <row r="40" spans="1:8" x14ac:dyDescent="0.25">
      <c r="A40" s="44">
        <f>+A14</f>
        <v>-2</v>
      </c>
      <c r="B40" s="20" t="s">
        <v>131</v>
      </c>
      <c r="C40" s="6"/>
      <c r="D40" s="6"/>
      <c r="E40" s="6"/>
      <c r="F40" s="11"/>
      <c r="G40" s="6"/>
      <c r="H40" s="6"/>
    </row>
    <row r="41" spans="1:8" x14ac:dyDescent="0.25">
      <c r="A41" s="44"/>
      <c r="B41" s="20" t="s">
        <v>132</v>
      </c>
      <c r="C41" s="6"/>
      <c r="D41" s="6"/>
      <c r="E41" s="6"/>
      <c r="F41" s="11"/>
      <c r="G41" s="6"/>
      <c r="H41" s="6"/>
    </row>
    <row r="42" spans="1:8" x14ac:dyDescent="0.25">
      <c r="A42" s="44">
        <f>+A16</f>
        <v>-3</v>
      </c>
      <c r="B42" s="20" t="s">
        <v>133</v>
      </c>
      <c r="C42" s="6"/>
      <c r="D42" s="6"/>
      <c r="E42" s="6"/>
      <c r="F42" s="11"/>
      <c r="G42" s="6"/>
      <c r="H42" s="6"/>
    </row>
    <row r="43" spans="1:8" x14ac:dyDescent="0.25">
      <c r="A43" s="44"/>
      <c r="B43" s="20" t="s">
        <v>134</v>
      </c>
      <c r="C43" s="6"/>
      <c r="D43" s="6"/>
      <c r="E43" s="6"/>
      <c r="F43" s="11"/>
      <c r="G43" s="6"/>
      <c r="H43" s="6"/>
    </row>
    <row r="44" spans="1:8" x14ac:dyDescent="0.25">
      <c r="A44" s="44">
        <f>+A18</f>
        <v>-4</v>
      </c>
      <c r="B44" s="20" t="s">
        <v>46</v>
      </c>
      <c r="C44" s="6"/>
      <c r="D44" s="6"/>
      <c r="E44" s="6"/>
      <c r="F44" s="11"/>
      <c r="G44" s="6"/>
      <c r="H44" s="6"/>
    </row>
    <row r="45" spans="1:8" x14ac:dyDescent="0.25">
      <c r="A45" s="19" t="s">
        <v>41</v>
      </c>
      <c r="B45" s="20" t="s">
        <v>81</v>
      </c>
      <c r="C45" s="6"/>
      <c r="D45" s="6"/>
      <c r="E45" s="6"/>
      <c r="F45" s="6"/>
      <c r="G45" s="6"/>
      <c r="H45" s="6"/>
    </row>
    <row r="46" spans="1:8" x14ac:dyDescent="0.25">
      <c r="A46" s="19"/>
      <c r="B46" s="20" t="s">
        <v>135</v>
      </c>
      <c r="C46" s="6"/>
      <c r="D46" s="6"/>
      <c r="E46" s="6"/>
      <c r="F46" s="6"/>
      <c r="G46" s="6"/>
      <c r="H46" s="6"/>
    </row>
    <row r="47" spans="1:8" x14ac:dyDescent="0.25">
      <c r="A47" s="21">
        <f>+A22</f>
        <v>-6</v>
      </c>
      <c r="B47" s="20" t="s">
        <v>47</v>
      </c>
      <c r="C47" s="6"/>
      <c r="D47" s="6"/>
      <c r="E47" s="6"/>
      <c r="F47" s="6"/>
      <c r="G47" s="6"/>
      <c r="H47" s="6"/>
    </row>
    <row r="48" spans="1:8" x14ac:dyDescent="0.25">
      <c r="A48" s="19" t="s">
        <v>42</v>
      </c>
      <c r="B48" s="20" t="s">
        <v>40</v>
      </c>
      <c r="C48" s="6"/>
      <c r="D48" s="6"/>
      <c r="E48" s="6"/>
      <c r="F48" s="6"/>
      <c r="G48" s="6"/>
      <c r="H48" s="6"/>
    </row>
    <row r="49" spans="1:8" x14ac:dyDescent="0.25">
      <c r="A49" s="44">
        <f>+A26</f>
        <v>-8</v>
      </c>
      <c r="B49" s="20" t="s">
        <v>136</v>
      </c>
      <c r="C49" s="6"/>
      <c r="D49" s="6"/>
      <c r="E49" s="6"/>
      <c r="F49" s="6"/>
      <c r="G49" s="6"/>
      <c r="H49" s="6"/>
    </row>
    <row r="50" spans="1:8" x14ac:dyDescent="0.25">
      <c r="A50" s="19"/>
      <c r="B50" s="20" t="s">
        <v>137</v>
      </c>
      <c r="C50" s="6"/>
      <c r="D50" s="6"/>
      <c r="E50" s="6"/>
      <c r="F50" s="6"/>
      <c r="G50" s="6"/>
      <c r="H50" s="6"/>
    </row>
    <row r="51" spans="1:8" x14ac:dyDescent="0.25">
      <c r="A51" s="44">
        <f>+A28</f>
        <v>-9</v>
      </c>
      <c r="B51" s="20" t="s">
        <v>48</v>
      </c>
      <c r="C51" s="6"/>
      <c r="D51" s="6"/>
      <c r="E51" s="6"/>
      <c r="F51" s="6"/>
      <c r="G51" s="6"/>
      <c r="H51" s="6"/>
    </row>
    <row r="52" spans="1:8" x14ac:dyDescent="0.25">
      <c r="A52" s="44">
        <f>+A30</f>
        <v>-10</v>
      </c>
      <c r="B52" s="20" t="s">
        <v>49</v>
      </c>
      <c r="C52" s="6"/>
      <c r="D52" s="6"/>
      <c r="E52" s="6"/>
      <c r="F52" s="6"/>
      <c r="G52" s="6"/>
      <c r="H52" s="6"/>
    </row>
    <row r="53" spans="1:8" x14ac:dyDescent="0.25">
      <c r="A53" s="44">
        <f>+A32</f>
        <v>-11</v>
      </c>
      <c r="B53" s="20" t="s">
        <v>124</v>
      </c>
      <c r="C53" s="6"/>
      <c r="D53" s="6"/>
      <c r="E53" s="6"/>
      <c r="F53" s="6"/>
      <c r="G53" s="6"/>
      <c r="H53" s="6"/>
    </row>
    <row r="54" spans="1:8" x14ac:dyDescent="0.25">
      <c r="A54" s="21">
        <f>+A34</f>
        <v>-12</v>
      </c>
      <c r="B54" s="2" t="s">
        <v>73</v>
      </c>
    </row>
  </sheetData>
  <pageMargins left="0.5" right="0.5" top="0.5" bottom="0.5" header="0.3" footer="0.3"/>
  <pageSetup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57570-BD27-41D4-BCD4-594FD4D7FAD1}">
  <sheetPr>
    <pageSetUpPr fitToPage="1"/>
  </sheetPr>
  <dimension ref="A1:E74"/>
  <sheetViews>
    <sheetView view="pageBreakPreview" topLeftCell="A7" zoomScale="60" zoomScaleNormal="100" workbookViewId="0">
      <selection activeCell="N35" sqref="N35"/>
    </sheetView>
  </sheetViews>
  <sheetFormatPr defaultColWidth="9.140625" defaultRowHeight="15" x14ac:dyDescent="0.25"/>
  <cols>
    <col min="1" max="1" width="7" style="1" customWidth="1"/>
    <col min="2" max="2" width="56" style="2" customWidth="1"/>
    <col min="3" max="3" width="18.85546875" style="2" customWidth="1"/>
    <col min="4" max="4" width="16.7109375" style="2" customWidth="1"/>
    <col min="5" max="16384" width="9.140625" style="2"/>
  </cols>
  <sheetData>
    <row r="1" spans="1:4" x14ac:dyDescent="0.25">
      <c r="D1" s="3" t="s">
        <v>82</v>
      </c>
    </row>
    <row r="2" spans="1:4" x14ac:dyDescent="0.25">
      <c r="D2" s="3" t="s">
        <v>125</v>
      </c>
    </row>
    <row r="3" spans="1:4" x14ac:dyDescent="0.25">
      <c r="D3" s="3" t="s">
        <v>126</v>
      </c>
    </row>
    <row r="4" spans="1:4" x14ac:dyDescent="0.25">
      <c r="D4" s="3" t="s">
        <v>96</v>
      </c>
    </row>
    <row r="6" spans="1:4" ht="13.9" customHeight="1" x14ac:dyDescent="0.25">
      <c r="B6" s="63" t="s">
        <v>19</v>
      </c>
      <c r="C6" s="63"/>
      <c r="D6" s="63"/>
    </row>
    <row r="7" spans="1:4" ht="13.9" customHeight="1" x14ac:dyDescent="0.25">
      <c r="B7" s="63" t="s">
        <v>20</v>
      </c>
      <c r="C7" s="63"/>
      <c r="D7" s="63"/>
    </row>
    <row r="9" spans="1:4" x14ac:dyDescent="0.25">
      <c r="B9" s="54" t="s">
        <v>51</v>
      </c>
      <c r="C9" s="54"/>
      <c r="D9" s="54"/>
    </row>
    <row r="10" spans="1:4" x14ac:dyDescent="0.25">
      <c r="B10" s="100"/>
      <c r="C10" s="101" t="s">
        <v>23</v>
      </c>
      <c r="D10" s="101" t="s">
        <v>24</v>
      </c>
    </row>
    <row r="11" spans="1:4" x14ac:dyDescent="0.25">
      <c r="B11" s="100"/>
      <c r="C11" s="100"/>
      <c r="D11" s="100"/>
    </row>
    <row r="12" spans="1:4" x14ac:dyDescent="0.25">
      <c r="A12" s="12">
        <v>-1</v>
      </c>
      <c r="B12" s="2" t="s">
        <v>52</v>
      </c>
      <c r="C12" s="53">
        <v>22619239</v>
      </c>
    </row>
    <row r="13" spans="1:4" ht="17.25" x14ac:dyDescent="0.4">
      <c r="A13" s="12">
        <f>+A12-1</f>
        <v>-2</v>
      </c>
      <c r="B13" s="2" t="s">
        <v>53</v>
      </c>
      <c r="C13" s="83">
        <v>1268537</v>
      </c>
    </row>
    <row r="14" spans="1:4" x14ac:dyDescent="0.25">
      <c r="A14" s="12">
        <f t="shared" ref="A14" si="0">+A13-1</f>
        <v>-3</v>
      </c>
      <c r="B14" s="49" t="s">
        <v>54</v>
      </c>
      <c r="C14" s="84">
        <f>SUM(C12:C13)</f>
        <v>23887776</v>
      </c>
      <c r="D14" s="73"/>
    </row>
    <row r="16" spans="1:4" x14ac:dyDescent="0.25">
      <c r="B16" s="54" t="s">
        <v>55</v>
      </c>
      <c r="C16" s="54"/>
      <c r="D16" s="54"/>
    </row>
    <row r="17" spans="1:5" x14ac:dyDescent="0.25">
      <c r="B17" s="100"/>
      <c r="C17" s="100"/>
      <c r="D17" s="100"/>
    </row>
    <row r="18" spans="1:5" x14ac:dyDescent="0.25">
      <c r="B18" s="100"/>
      <c r="C18" s="100"/>
      <c r="D18" s="102" t="s">
        <v>91</v>
      </c>
    </row>
    <row r="19" spans="1:5" x14ac:dyDescent="0.25">
      <c r="B19" s="100"/>
      <c r="C19" s="100"/>
      <c r="D19" s="100"/>
    </row>
    <row r="20" spans="1:5" x14ac:dyDescent="0.25">
      <c r="A20" s="12">
        <f>+A14-1</f>
        <v>-4</v>
      </c>
      <c r="B20" s="49" t="s">
        <v>54</v>
      </c>
      <c r="C20" s="84">
        <f>+C14</f>
        <v>23887776</v>
      </c>
    </row>
    <row r="21" spans="1:5" x14ac:dyDescent="0.25">
      <c r="A21" s="12">
        <f>+A20-1</f>
        <v>-5</v>
      </c>
      <c r="B21" s="50" t="s">
        <v>56</v>
      </c>
      <c r="C21" s="86">
        <v>3.2370000000000003E-2</v>
      </c>
    </row>
    <row r="22" spans="1:5" x14ac:dyDescent="0.25">
      <c r="A22" s="12">
        <f t="shared" ref="A22" si="1">+A21-1</f>
        <v>-6</v>
      </c>
      <c r="B22" s="49" t="s">
        <v>57</v>
      </c>
      <c r="C22" s="87">
        <f>ROUND(+C20*C21,0)</f>
        <v>773247</v>
      </c>
    </row>
    <row r="23" spans="1:5" x14ac:dyDescent="0.25">
      <c r="A23" s="12"/>
      <c r="B23" s="49"/>
      <c r="C23" s="87"/>
    </row>
    <row r="24" spans="1:5" x14ac:dyDescent="0.25">
      <c r="A24" s="12">
        <f>+A22-1</f>
        <v>-7</v>
      </c>
      <c r="B24" s="49" t="s">
        <v>71</v>
      </c>
      <c r="C24" s="84">
        <f>+C22+C20</f>
        <v>24661023</v>
      </c>
      <c r="D24" s="73">
        <f>ROUND(C24/12*3,0)</f>
        <v>6165256</v>
      </c>
      <c r="E24" s="82"/>
    </row>
    <row r="26" spans="1:5" x14ac:dyDescent="0.25">
      <c r="B26" s="54" t="s">
        <v>59</v>
      </c>
      <c r="C26" s="54"/>
      <c r="D26" s="54"/>
    </row>
    <row r="27" spans="1:5" x14ac:dyDescent="0.25">
      <c r="B27" s="100"/>
      <c r="C27" s="100"/>
      <c r="D27" s="100"/>
    </row>
    <row r="28" spans="1:5" x14ac:dyDescent="0.25">
      <c r="B28" s="100"/>
      <c r="C28" s="100"/>
      <c r="D28" s="102" t="s">
        <v>88</v>
      </c>
    </row>
    <row r="29" spans="1:5" x14ac:dyDescent="0.25">
      <c r="B29" s="100"/>
      <c r="C29" s="100"/>
      <c r="D29" s="100"/>
    </row>
    <row r="30" spans="1:5" x14ac:dyDescent="0.25">
      <c r="A30" s="12">
        <f>+A24-1</f>
        <v>-8</v>
      </c>
      <c r="B30" s="49" t="s">
        <v>58</v>
      </c>
      <c r="C30" s="84">
        <f>+C24</f>
        <v>24661023</v>
      </c>
    </row>
    <row r="31" spans="1:5" x14ac:dyDescent="0.25">
      <c r="A31" s="12">
        <f>+A30-1</f>
        <v>-9</v>
      </c>
      <c r="B31" s="50" t="s">
        <v>60</v>
      </c>
      <c r="C31" s="88">
        <v>2.7089999999999999E-2</v>
      </c>
    </row>
    <row r="32" spans="1:5" x14ac:dyDescent="0.25">
      <c r="A32" s="12">
        <f t="shared" ref="A32" si="2">+A31-1</f>
        <v>-10</v>
      </c>
      <c r="B32" s="49" t="s">
        <v>61</v>
      </c>
      <c r="C32" s="89">
        <f>ROUND(+C30*C31,0)</f>
        <v>668067</v>
      </c>
    </row>
    <row r="33" spans="1:5" x14ac:dyDescent="0.25">
      <c r="A33" s="12"/>
      <c r="B33" s="49"/>
      <c r="C33" s="89"/>
    </row>
    <row r="34" spans="1:5" x14ac:dyDescent="0.25">
      <c r="A34" s="12">
        <f>+A32-1</f>
        <v>-11</v>
      </c>
      <c r="B34" s="49" t="s">
        <v>72</v>
      </c>
      <c r="C34" s="90">
        <f>+C32+C30</f>
        <v>25329090</v>
      </c>
      <c r="D34" s="73">
        <f>ROUND(C34/12*9,0)</f>
        <v>18996818</v>
      </c>
      <c r="E34" s="82"/>
    </row>
    <row r="36" spans="1:5" x14ac:dyDescent="0.25">
      <c r="A36" s="21">
        <f>+A34-1</f>
        <v>-12</v>
      </c>
      <c r="B36" s="2" t="s">
        <v>101</v>
      </c>
      <c r="D36" s="73">
        <f>+D14+D24+D34</f>
        <v>25162074</v>
      </c>
    </row>
    <row r="38" spans="1:5" x14ac:dyDescent="0.25">
      <c r="B38" s="54" t="s">
        <v>141</v>
      </c>
      <c r="C38" s="54"/>
      <c r="D38" s="54"/>
    </row>
    <row r="40" spans="1:5" x14ac:dyDescent="0.25">
      <c r="A40" s="12">
        <f>+A36-1</f>
        <v>-13</v>
      </c>
      <c r="B40" s="49" t="s">
        <v>62</v>
      </c>
      <c r="C40" s="84">
        <f>C34</f>
        <v>25329090</v>
      </c>
    </row>
    <row r="41" spans="1:5" x14ac:dyDescent="0.25">
      <c r="A41" s="12">
        <f>+A40-1</f>
        <v>-14</v>
      </c>
      <c r="B41" s="50" t="s">
        <v>149</v>
      </c>
      <c r="C41" s="88">
        <v>4.9200000000000001E-2</v>
      </c>
    </row>
    <row r="42" spans="1:5" x14ac:dyDescent="0.25">
      <c r="A42" s="12">
        <f>+A41-1</f>
        <v>-15</v>
      </c>
      <c r="B42" s="49" t="s">
        <v>142</v>
      </c>
      <c r="C42" s="89">
        <f>C40*C41</f>
        <v>1246191.2280000001</v>
      </c>
    </row>
    <row r="43" spans="1:5" x14ac:dyDescent="0.25">
      <c r="A43" s="12"/>
      <c r="B43" s="49"/>
    </row>
    <row r="44" spans="1:5" x14ac:dyDescent="0.25">
      <c r="A44" s="12">
        <f>+A42-1</f>
        <v>-16</v>
      </c>
      <c r="B44" s="49" t="s">
        <v>143</v>
      </c>
      <c r="C44" s="73">
        <f>C40+C42</f>
        <v>26575281.228</v>
      </c>
    </row>
    <row r="46" spans="1:5" x14ac:dyDescent="0.25">
      <c r="B46" s="54" t="s">
        <v>145</v>
      </c>
      <c r="C46" s="54"/>
      <c r="D46" s="54"/>
    </row>
    <row r="48" spans="1:5" x14ac:dyDescent="0.25">
      <c r="A48" s="12">
        <f>+A44-1</f>
        <v>-17</v>
      </c>
      <c r="B48" s="49" t="s">
        <v>146</v>
      </c>
      <c r="C48" s="73">
        <f>C44</f>
        <v>26575281.228</v>
      </c>
    </row>
    <row r="49" spans="1:3" x14ac:dyDescent="0.25">
      <c r="A49" s="12">
        <f>+A48-1</f>
        <v>-18</v>
      </c>
      <c r="B49" s="50" t="s">
        <v>150</v>
      </c>
      <c r="C49" s="88">
        <v>6.9000000000000006E-2</v>
      </c>
    </row>
    <row r="50" spans="1:3" x14ac:dyDescent="0.25">
      <c r="A50" s="12">
        <f t="shared" ref="A50" si="3">+A49-1</f>
        <v>-19</v>
      </c>
      <c r="B50" s="49" t="s">
        <v>148</v>
      </c>
      <c r="C50" s="89">
        <f>C48*C49</f>
        <v>1833694.4047320001</v>
      </c>
    </row>
    <row r="51" spans="1:3" x14ac:dyDescent="0.25">
      <c r="A51" s="12"/>
      <c r="B51" s="49"/>
    </row>
    <row r="52" spans="1:3" x14ac:dyDescent="0.25">
      <c r="A52" s="12">
        <f>+A50-1</f>
        <v>-20</v>
      </c>
      <c r="B52" s="49" t="s">
        <v>147</v>
      </c>
      <c r="C52" s="73">
        <f>C48+C50</f>
        <v>28408975.632732</v>
      </c>
    </row>
    <row r="55" spans="1:3" x14ac:dyDescent="0.25">
      <c r="A55" s="44">
        <f>A12</f>
        <v>-1</v>
      </c>
      <c r="B55" s="2" t="s">
        <v>63</v>
      </c>
    </row>
    <row r="56" spans="1:3" x14ac:dyDescent="0.25">
      <c r="A56" s="44">
        <f t="shared" ref="A56:A57" si="4">A13</f>
        <v>-2</v>
      </c>
      <c r="B56" s="2" t="s">
        <v>64</v>
      </c>
    </row>
    <row r="57" spans="1:3" x14ac:dyDescent="0.25">
      <c r="A57" s="44">
        <f t="shared" si="4"/>
        <v>-3</v>
      </c>
      <c r="B57" s="2" t="s">
        <v>69</v>
      </c>
    </row>
    <row r="58" spans="1:3" x14ac:dyDescent="0.25">
      <c r="A58" s="44">
        <f>A20</f>
        <v>-4</v>
      </c>
      <c r="B58" s="2" t="s">
        <v>21</v>
      </c>
    </row>
    <row r="59" spans="1:3" x14ac:dyDescent="0.25">
      <c r="A59" s="44">
        <f t="shared" ref="A59:A60" si="5">A21</f>
        <v>-5</v>
      </c>
      <c r="B59" s="2" t="s">
        <v>65</v>
      </c>
    </row>
    <row r="60" spans="1:3" x14ac:dyDescent="0.25">
      <c r="A60" s="44">
        <f t="shared" si="5"/>
        <v>-6</v>
      </c>
      <c r="B60" s="2" t="s">
        <v>66</v>
      </c>
    </row>
    <row r="61" spans="1:3" x14ac:dyDescent="0.25">
      <c r="A61" s="44">
        <f>A24</f>
        <v>-7</v>
      </c>
      <c r="B61" s="2" t="s">
        <v>123</v>
      </c>
    </row>
    <row r="62" spans="1:3" x14ac:dyDescent="0.25">
      <c r="A62" s="44">
        <f>A30</f>
        <v>-8</v>
      </c>
      <c r="B62" s="2" t="s">
        <v>22</v>
      </c>
    </row>
    <row r="63" spans="1:3" x14ac:dyDescent="0.25">
      <c r="A63" s="44">
        <f>A31</f>
        <v>-9</v>
      </c>
      <c r="B63" s="51" t="s">
        <v>67</v>
      </c>
    </row>
    <row r="64" spans="1:3" x14ac:dyDescent="0.25">
      <c r="A64" s="44">
        <f>A32</f>
        <v>-10</v>
      </c>
      <c r="B64" s="51" t="s">
        <v>68</v>
      </c>
    </row>
    <row r="65" spans="1:2" x14ac:dyDescent="0.25">
      <c r="A65" s="44">
        <f>A34</f>
        <v>-11</v>
      </c>
      <c r="B65" s="51" t="s">
        <v>89</v>
      </c>
    </row>
    <row r="66" spans="1:2" x14ac:dyDescent="0.25">
      <c r="A66" s="21">
        <f>+A36</f>
        <v>-12</v>
      </c>
      <c r="B66" s="2" t="s">
        <v>90</v>
      </c>
    </row>
    <row r="67" spans="1:2" x14ac:dyDescent="0.25">
      <c r="A67" s="21">
        <f>A40</f>
        <v>-13</v>
      </c>
      <c r="B67" s="2" t="s">
        <v>144</v>
      </c>
    </row>
    <row r="68" spans="1:2" x14ac:dyDescent="0.25">
      <c r="A68" s="21">
        <f>A41</f>
        <v>-14</v>
      </c>
      <c r="B68" s="51" t="s">
        <v>153</v>
      </c>
    </row>
    <row r="69" spans="1:2" x14ac:dyDescent="0.25">
      <c r="A69" s="21">
        <f>A42</f>
        <v>-15</v>
      </c>
      <c r="B69" s="51" t="s">
        <v>151</v>
      </c>
    </row>
    <row r="70" spans="1:2" x14ac:dyDescent="0.25">
      <c r="A70" s="21">
        <f>A44</f>
        <v>-16</v>
      </c>
      <c r="B70" s="51" t="s">
        <v>152</v>
      </c>
    </row>
    <row r="71" spans="1:2" x14ac:dyDescent="0.25">
      <c r="A71" s="21">
        <f>A48</f>
        <v>-17</v>
      </c>
      <c r="B71" s="2" t="s">
        <v>154</v>
      </c>
    </row>
    <row r="72" spans="1:2" x14ac:dyDescent="0.25">
      <c r="A72" s="21">
        <f>A49</f>
        <v>-18</v>
      </c>
      <c r="B72" s="51" t="s">
        <v>157</v>
      </c>
    </row>
    <row r="73" spans="1:2" x14ac:dyDescent="0.25">
      <c r="A73" s="21">
        <f>A50</f>
        <v>-19</v>
      </c>
      <c r="B73" s="51" t="s">
        <v>155</v>
      </c>
    </row>
    <row r="74" spans="1:2" x14ac:dyDescent="0.25">
      <c r="A74" s="21">
        <f>A52</f>
        <v>-20</v>
      </c>
      <c r="B74" s="51" t="s">
        <v>156</v>
      </c>
    </row>
  </sheetData>
  <pageMargins left="0.5" right="0.5" top="0.5" bottom="0.5" header="0.3" footer="0.3"/>
  <pageSetup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DFA7C-C2FE-4E2C-8CDC-ED299CCC9592}">
  <sheetPr>
    <pageSetUpPr fitToPage="1"/>
  </sheetPr>
  <dimension ref="A1:W84"/>
  <sheetViews>
    <sheetView view="pageBreakPreview" zoomScale="60" zoomScaleNormal="100" workbookViewId="0">
      <pane xSplit="2" ySplit="12" topLeftCell="C37" activePane="bottomRight" state="frozen"/>
      <selection activeCell="N35" sqref="N35"/>
      <selection pane="topRight" activeCell="N35" sqref="N35"/>
      <selection pane="bottomLeft" activeCell="N35" sqref="N35"/>
      <selection pane="bottomRight" activeCell="N35" sqref="N35"/>
    </sheetView>
  </sheetViews>
  <sheetFormatPr defaultColWidth="9.140625" defaultRowHeight="15" x14ac:dyDescent="0.25"/>
  <cols>
    <col min="1" max="1" width="9.140625" style="14"/>
    <col min="2" max="2" width="17.42578125" style="14" customWidth="1"/>
    <col min="3" max="11" width="13.7109375" style="14" customWidth="1"/>
    <col min="12" max="12" width="13.42578125" style="14" bestFit="1" customWidth="1"/>
    <col min="13" max="13" width="13.42578125" style="14" customWidth="1"/>
    <col min="14" max="14" width="12.5703125" style="14" bestFit="1" customWidth="1"/>
    <col min="15" max="15" width="9.140625" style="14"/>
    <col min="16" max="17" width="10.7109375" style="14" bestFit="1" customWidth="1"/>
    <col min="18" max="19" width="9.140625" style="14"/>
    <col min="20" max="21" width="11.7109375" style="14" bestFit="1" customWidth="1"/>
    <col min="22" max="16384" width="9.140625" style="14"/>
  </cols>
  <sheetData>
    <row r="1" spans="1:14" x14ac:dyDescent="0.25">
      <c r="L1" s="72" t="s">
        <v>82</v>
      </c>
    </row>
    <row r="2" spans="1:14" x14ac:dyDescent="0.25">
      <c r="L2" s="72" t="s">
        <v>125</v>
      </c>
    </row>
    <row r="3" spans="1:14" x14ac:dyDescent="0.25">
      <c r="L3" s="72" t="s">
        <v>126</v>
      </c>
    </row>
    <row r="4" spans="1:14" x14ac:dyDescent="0.25">
      <c r="E4" s="15"/>
      <c r="F4" s="15"/>
      <c r="L4" s="72" t="s">
        <v>95</v>
      </c>
    </row>
    <row r="6" spans="1:14" x14ac:dyDescent="0.25">
      <c r="B6" s="56" t="s">
        <v>19</v>
      </c>
      <c r="C6" s="56"/>
      <c r="D6" s="56"/>
      <c r="E6" s="56"/>
      <c r="F6" s="56"/>
      <c r="G6" s="56"/>
      <c r="H6" s="56"/>
      <c r="I6" s="56"/>
      <c r="J6" s="56"/>
      <c r="K6" s="56"/>
    </row>
    <row r="7" spans="1:14" x14ac:dyDescent="0.25">
      <c r="B7" s="56" t="s">
        <v>20</v>
      </c>
      <c r="C7" s="56"/>
      <c r="D7" s="56"/>
      <c r="E7" s="56"/>
      <c r="F7" s="56"/>
      <c r="G7" s="56"/>
      <c r="H7" s="56"/>
      <c r="I7" s="56"/>
      <c r="J7" s="56"/>
      <c r="K7" s="56"/>
    </row>
    <row r="9" spans="1:14" x14ac:dyDescent="0.25">
      <c r="C9" s="57" t="s">
        <v>3</v>
      </c>
      <c r="D9" s="57"/>
      <c r="E9" s="98" t="s">
        <v>4</v>
      </c>
      <c r="F9" s="98" t="s">
        <v>8</v>
      </c>
      <c r="G9" s="98" t="s">
        <v>12</v>
      </c>
      <c r="H9" s="98" t="s">
        <v>13</v>
      </c>
      <c r="I9" s="98" t="s">
        <v>12</v>
      </c>
      <c r="J9" s="98" t="s">
        <v>12</v>
      </c>
      <c r="K9" s="98" t="s">
        <v>17</v>
      </c>
      <c r="L9" s="98" t="s">
        <v>17</v>
      </c>
    </row>
    <row r="10" spans="1:14" x14ac:dyDescent="0.25">
      <c r="C10" s="98" t="s">
        <v>0</v>
      </c>
      <c r="D10" s="98" t="s">
        <v>2</v>
      </c>
      <c r="E10" s="98" t="s">
        <v>5</v>
      </c>
      <c r="F10" s="98" t="s">
        <v>9</v>
      </c>
      <c r="G10" s="98" t="s">
        <v>11</v>
      </c>
      <c r="H10" s="98" t="s">
        <v>8</v>
      </c>
      <c r="I10" s="98" t="s">
        <v>15</v>
      </c>
      <c r="J10" s="98" t="s">
        <v>16</v>
      </c>
      <c r="K10" s="98" t="s">
        <v>8</v>
      </c>
      <c r="L10" s="98" t="s">
        <v>14</v>
      </c>
    </row>
    <row r="11" spans="1:14" x14ac:dyDescent="0.25">
      <c r="C11" s="58" t="s">
        <v>1</v>
      </c>
      <c r="D11" s="58" t="s">
        <v>1</v>
      </c>
      <c r="E11" s="58" t="s">
        <v>6</v>
      </c>
      <c r="F11" s="58" t="s">
        <v>7</v>
      </c>
      <c r="G11" s="58" t="s">
        <v>10</v>
      </c>
      <c r="H11" s="58" t="s">
        <v>14</v>
      </c>
      <c r="I11" s="58" t="s">
        <v>10</v>
      </c>
      <c r="J11" s="58" t="s">
        <v>10</v>
      </c>
      <c r="K11" s="58" t="s">
        <v>14</v>
      </c>
      <c r="L11" s="58" t="s">
        <v>140</v>
      </c>
    </row>
    <row r="12" spans="1:14" x14ac:dyDescent="0.25">
      <c r="C12" s="59" t="s">
        <v>23</v>
      </c>
      <c r="D12" s="59" t="s">
        <v>24</v>
      </c>
      <c r="E12" s="59" t="s">
        <v>30</v>
      </c>
      <c r="F12" s="59" t="s">
        <v>25</v>
      </c>
      <c r="G12" s="59" t="s">
        <v>31</v>
      </c>
      <c r="H12" s="59" t="s">
        <v>26</v>
      </c>
      <c r="I12" s="59" t="s">
        <v>27</v>
      </c>
      <c r="J12" s="59" t="s">
        <v>28</v>
      </c>
      <c r="K12" s="59" t="s">
        <v>29</v>
      </c>
      <c r="L12" s="98" t="s">
        <v>175</v>
      </c>
    </row>
    <row r="14" spans="1:14" x14ac:dyDescent="0.25">
      <c r="A14" s="60">
        <v>-1</v>
      </c>
      <c r="B14" s="61">
        <v>44013</v>
      </c>
      <c r="C14" s="15">
        <v>129798163.82000001</v>
      </c>
      <c r="D14" s="15">
        <v>140376555.02999997</v>
      </c>
      <c r="E14" s="15">
        <v>12982933.310000001</v>
      </c>
      <c r="F14" s="15">
        <f t="shared" ref="F14:F61" si="0">+C14+E14-D14</f>
        <v>2404542.1000000238</v>
      </c>
      <c r="G14" s="15">
        <v>251978.14</v>
      </c>
      <c r="H14" s="15">
        <f>+F14-G14</f>
        <v>2152563.9600000237</v>
      </c>
      <c r="I14" s="15">
        <v>468470.58999999997</v>
      </c>
      <c r="J14" s="15">
        <v>469905.92000000004</v>
      </c>
      <c r="K14" s="15">
        <f>+H14-I14-J14</f>
        <v>1214187.4500000239</v>
      </c>
      <c r="L14" s="15">
        <f>'p3_MECO Base Rate'!C14/12</f>
        <v>1990648</v>
      </c>
      <c r="M14" s="15"/>
      <c r="N14" s="15"/>
    </row>
    <row r="15" spans="1:14" x14ac:dyDescent="0.25">
      <c r="A15" s="60">
        <f>+A14-1</f>
        <v>-2</v>
      </c>
      <c r="B15" s="61">
        <f>+B14+31</f>
        <v>44044</v>
      </c>
      <c r="C15" s="15">
        <f>+D14</f>
        <v>140376555.02999997</v>
      </c>
      <c r="D15" s="15">
        <v>146142435.95999998</v>
      </c>
      <c r="E15" s="15">
        <v>7876133.4900000002</v>
      </c>
      <c r="F15" s="15">
        <f t="shared" si="0"/>
        <v>2110252.5600000024</v>
      </c>
      <c r="G15" s="15">
        <v>84235.889999999985</v>
      </c>
      <c r="H15" s="15">
        <f t="shared" ref="H15:H61" si="1">+F15-G15</f>
        <v>2026016.6700000025</v>
      </c>
      <c r="I15" s="15">
        <v>421068.56000000006</v>
      </c>
      <c r="J15" s="15">
        <v>527375.57999999996</v>
      </c>
      <c r="K15" s="15">
        <f t="shared" ref="K15:K61" si="2">+H15-I15-J15</f>
        <v>1077572.5300000026</v>
      </c>
      <c r="L15" s="15">
        <f>L14</f>
        <v>1990648</v>
      </c>
      <c r="M15" s="15"/>
      <c r="N15" s="15"/>
    </row>
    <row r="16" spans="1:14" x14ac:dyDescent="0.25">
      <c r="A16" s="60">
        <f t="shared" ref="A16:A61" si="3">+A15-1</f>
        <v>-3</v>
      </c>
      <c r="B16" s="61">
        <f t="shared" ref="B16:B61" si="4">+B15+31</f>
        <v>44075</v>
      </c>
      <c r="C16" s="15">
        <f t="shared" ref="C16:C61" si="5">+D15</f>
        <v>146142435.95999998</v>
      </c>
      <c r="D16" s="15">
        <v>150799387.62</v>
      </c>
      <c r="E16" s="15">
        <v>7029109.6699999999</v>
      </c>
      <c r="F16" s="15">
        <f t="shared" si="0"/>
        <v>2372158.0099999607</v>
      </c>
      <c r="G16" s="15">
        <v>200644.49999999997</v>
      </c>
      <c r="H16" s="15">
        <f t="shared" si="1"/>
        <v>2171513.5099999607</v>
      </c>
      <c r="I16" s="15">
        <v>442149.05000000005</v>
      </c>
      <c r="J16" s="15">
        <v>438456.29</v>
      </c>
      <c r="K16" s="15">
        <f t="shared" si="2"/>
        <v>1290908.1699999606</v>
      </c>
      <c r="L16" s="15">
        <f t="shared" ref="L16" si="6">L15</f>
        <v>1990648</v>
      </c>
      <c r="M16" s="81"/>
      <c r="N16" s="15"/>
    </row>
    <row r="17" spans="1:14" x14ac:dyDescent="0.25">
      <c r="A17" s="60">
        <f t="shared" si="3"/>
        <v>-4</v>
      </c>
      <c r="B17" s="61">
        <f>+B16+30</f>
        <v>44105</v>
      </c>
      <c r="C17" s="15">
        <f t="shared" si="5"/>
        <v>150799387.62</v>
      </c>
      <c r="D17" s="15">
        <v>158810487.51999998</v>
      </c>
      <c r="E17" s="15">
        <v>10184299.35</v>
      </c>
      <c r="F17" s="15">
        <f t="shared" si="0"/>
        <v>2173199.4500000179</v>
      </c>
      <c r="G17" s="15">
        <v>134601.4</v>
      </c>
      <c r="H17" s="15">
        <f t="shared" si="1"/>
        <v>2038598.050000018</v>
      </c>
      <c r="I17" s="15">
        <v>467130.04</v>
      </c>
      <c r="J17" s="15">
        <v>358631.67999999999</v>
      </c>
      <c r="K17" s="15">
        <f t="shared" si="2"/>
        <v>1212836.330000018</v>
      </c>
      <c r="L17" s="15">
        <f>'p3_MECO Base Rate'!C24/12</f>
        <v>2055085.25</v>
      </c>
      <c r="M17" s="98"/>
      <c r="N17" s="15"/>
    </row>
    <row r="18" spans="1:14" x14ac:dyDescent="0.25">
      <c r="A18" s="60">
        <f t="shared" si="3"/>
        <v>-5</v>
      </c>
      <c r="B18" s="61">
        <f t="shared" si="4"/>
        <v>44136</v>
      </c>
      <c r="C18" s="15">
        <f t="shared" si="5"/>
        <v>158810487.51999998</v>
      </c>
      <c r="D18" s="15">
        <v>167410941.11000001</v>
      </c>
      <c r="E18" s="15">
        <v>9905694.4299999997</v>
      </c>
      <c r="F18" s="15">
        <f t="shared" si="0"/>
        <v>1305240.8399999738</v>
      </c>
      <c r="G18" s="15">
        <v>115153.37</v>
      </c>
      <c r="H18" s="15">
        <f t="shared" si="1"/>
        <v>1190087.4699999737</v>
      </c>
      <c r="I18" s="15">
        <v>446413.19</v>
      </c>
      <c r="J18" s="15">
        <v>202848.91999999998</v>
      </c>
      <c r="K18" s="15">
        <f t="shared" si="2"/>
        <v>540825.35999997379</v>
      </c>
      <c r="L18" s="15">
        <f>L17</f>
        <v>2055085.25</v>
      </c>
      <c r="M18" s="80"/>
      <c r="N18" s="15"/>
    </row>
    <row r="19" spans="1:14" x14ac:dyDescent="0.25">
      <c r="A19" s="60">
        <f t="shared" si="3"/>
        <v>-6</v>
      </c>
      <c r="B19" s="61">
        <f>+B18+30</f>
        <v>44166</v>
      </c>
      <c r="C19" s="15">
        <f t="shared" si="5"/>
        <v>167410941.11000001</v>
      </c>
      <c r="D19" s="15">
        <f>179458419+52134630</f>
        <v>231593049</v>
      </c>
      <c r="E19" s="15">
        <f>14474873.31+52134630.17</f>
        <v>66609503.480000004</v>
      </c>
      <c r="F19" s="15">
        <f t="shared" si="0"/>
        <v>2427395.5900000334</v>
      </c>
      <c r="G19" s="15">
        <v>130352.54999999999</v>
      </c>
      <c r="H19" s="15">
        <f t="shared" si="1"/>
        <v>2297043.0400000336</v>
      </c>
      <c r="I19" s="15">
        <v>475645.9</v>
      </c>
      <c r="J19" s="15">
        <v>482979.89</v>
      </c>
      <c r="K19" s="15">
        <f t="shared" si="2"/>
        <v>1338417.2500000335</v>
      </c>
      <c r="L19" s="15">
        <f t="shared" ref="L19:L28" si="7">L18</f>
        <v>2055085.25</v>
      </c>
      <c r="M19" s="15"/>
      <c r="N19" s="15"/>
    </row>
    <row r="20" spans="1:14" x14ac:dyDescent="0.25">
      <c r="A20" s="60">
        <f t="shared" si="3"/>
        <v>-7</v>
      </c>
      <c r="B20" s="61">
        <f t="shared" si="4"/>
        <v>44197</v>
      </c>
      <c r="C20" s="15">
        <f t="shared" si="5"/>
        <v>231593049</v>
      </c>
      <c r="D20" s="15">
        <v>240540868.07999998</v>
      </c>
      <c r="E20" s="15">
        <v>11698979.680000002</v>
      </c>
      <c r="F20" s="15">
        <f t="shared" si="0"/>
        <v>2751160.6000000238</v>
      </c>
      <c r="G20" s="15">
        <v>219187.63000000003</v>
      </c>
      <c r="H20" s="15">
        <f t="shared" si="1"/>
        <v>2531972.970000024</v>
      </c>
      <c r="I20" s="15">
        <v>694004.58000000007</v>
      </c>
      <c r="J20" s="15">
        <v>475928.64999999997</v>
      </c>
      <c r="K20" s="15">
        <f t="shared" si="2"/>
        <v>1362039.740000024</v>
      </c>
      <c r="L20" s="15">
        <f t="shared" si="7"/>
        <v>2055085.25</v>
      </c>
      <c r="M20" s="15"/>
      <c r="N20" s="15"/>
    </row>
    <row r="21" spans="1:14" x14ac:dyDescent="0.25">
      <c r="A21" s="60">
        <f t="shared" si="3"/>
        <v>-8</v>
      </c>
      <c r="B21" s="61">
        <f t="shared" si="4"/>
        <v>44228</v>
      </c>
      <c r="C21" s="15">
        <f t="shared" si="5"/>
        <v>240540868.07999998</v>
      </c>
      <c r="D21" s="15">
        <v>259068119.38999999</v>
      </c>
      <c r="E21" s="15">
        <v>21052658.560000002</v>
      </c>
      <c r="F21" s="15">
        <f t="shared" si="0"/>
        <v>2525407.25</v>
      </c>
      <c r="G21" s="15">
        <v>160173.14000000001</v>
      </c>
      <c r="H21" s="15">
        <f t="shared" si="1"/>
        <v>2365234.11</v>
      </c>
      <c r="I21" s="15">
        <v>648195.13000000012</v>
      </c>
      <c r="J21" s="15">
        <v>415455.38999999996</v>
      </c>
      <c r="K21" s="15">
        <f t="shared" si="2"/>
        <v>1301583.5899999999</v>
      </c>
      <c r="L21" s="15">
        <f t="shared" si="7"/>
        <v>2055085.25</v>
      </c>
      <c r="M21" s="15"/>
      <c r="N21" s="15"/>
    </row>
    <row r="22" spans="1:14" x14ac:dyDescent="0.25">
      <c r="A22" s="60">
        <f t="shared" si="3"/>
        <v>-9</v>
      </c>
      <c r="B22" s="61">
        <f>+B21+28</f>
        <v>44256</v>
      </c>
      <c r="C22" s="15">
        <f t="shared" si="5"/>
        <v>259068119.38999999</v>
      </c>
      <c r="D22" s="15">
        <v>256475209.71999997</v>
      </c>
      <c r="E22" s="15">
        <v>-491632.89</v>
      </c>
      <c r="F22" s="15">
        <f t="shared" si="0"/>
        <v>2101276.780000031</v>
      </c>
      <c r="G22" s="15">
        <v>215039.33</v>
      </c>
      <c r="H22" s="15">
        <f t="shared" si="1"/>
        <v>1886237.4500000309</v>
      </c>
      <c r="I22" s="15">
        <v>495536.14</v>
      </c>
      <c r="J22" s="15">
        <v>338149.38</v>
      </c>
      <c r="K22" s="15">
        <f t="shared" si="2"/>
        <v>1052551.9300000309</v>
      </c>
      <c r="L22" s="15">
        <f t="shared" si="7"/>
        <v>2055085.25</v>
      </c>
      <c r="M22" s="15"/>
      <c r="N22" s="15"/>
    </row>
    <row r="23" spans="1:14" x14ac:dyDescent="0.25">
      <c r="A23" s="60">
        <f t="shared" si="3"/>
        <v>-10</v>
      </c>
      <c r="B23" s="61">
        <f t="shared" si="4"/>
        <v>44287</v>
      </c>
      <c r="C23" s="15">
        <f t="shared" si="5"/>
        <v>256475209.71999997</v>
      </c>
      <c r="D23" s="15">
        <v>256156433.06000003</v>
      </c>
      <c r="E23" s="15">
        <v>2106825.6</v>
      </c>
      <c r="F23" s="15">
        <f t="shared" si="0"/>
        <v>2425602.2599999309</v>
      </c>
      <c r="G23" s="15">
        <v>129342.94</v>
      </c>
      <c r="H23" s="15">
        <f t="shared" si="1"/>
        <v>2296259.3199999309</v>
      </c>
      <c r="I23" s="15">
        <v>614163.68999999994</v>
      </c>
      <c r="J23" s="15">
        <v>383985.61</v>
      </c>
      <c r="K23" s="15">
        <f t="shared" si="2"/>
        <v>1298110.0199999311</v>
      </c>
      <c r="L23" s="15">
        <f t="shared" si="7"/>
        <v>2055085.25</v>
      </c>
      <c r="M23" s="15"/>
      <c r="N23" s="15"/>
    </row>
    <row r="24" spans="1:14" x14ac:dyDescent="0.25">
      <c r="A24" s="60">
        <f t="shared" si="3"/>
        <v>-11</v>
      </c>
      <c r="B24" s="61">
        <f>+B23+30</f>
        <v>44317</v>
      </c>
      <c r="C24" s="15">
        <f t="shared" si="5"/>
        <v>256156433.06000003</v>
      </c>
      <c r="D24" s="15">
        <v>253285794.84999999</v>
      </c>
      <c r="E24" s="15">
        <v>548494.43000000005</v>
      </c>
      <c r="F24" s="15">
        <f t="shared" si="0"/>
        <v>3419132.6400000453</v>
      </c>
      <c r="G24" s="15">
        <v>266863.28000000003</v>
      </c>
      <c r="H24" s="15">
        <f t="shared" si="1"/>
        <v>3152269.360000045</v>
      </c>
      <c r="I24" s="15">
        <v>766104.51</v>
      </c>
      <c r="J24" s="15">
        <v>594277.26</v>
      </c>
      <c r="K24" s="15">
        <f t="shared" si="2"/>
        <v>1791887.5900000453</v>
      </c>
      <c r="L24" s="15">
        <f t="shared" si="7"/>
        <v>2055085.25</v>
      </c>
      <c r="M24" s="15"/>
      <c r="N24" s="15"/>
    </row>
    <row r="25" spans="1:14" x14ac:dyDescent="0.25">
      <c r="A25" s="60">
        <f t="shared" si="3"/>
        <v>-12</v>
      </c>
      <c r="B25" s="61">
        <f t="shared" si="4"/>
        <v>44348</v>
      </c>
      <c r="C25" s="15">
        <f t="shared" si="5"/>
        <v>253285794.84999999</v>
      </c>
      <c r="D25" s="15">
        <v>250799504.73000002</v>
      </c>
      <c r="E25" s="15">
        <v>1332759.45</v>
      </c>
      <c r="F25" s="15">
        <f t="shared" si="0"/>
        <v>3819049.569999963</v>
      </c>
      <c r="G25" s="15">
        <v>187651.46000000008</v>
      </c>
      <c r="H25" s="15">
        <f t="shared" si="1"/>
        <v>3631398.1099999631</v>
      </c>
      <c r="I25" s="15">
        <v>926227.9</v>
      </c>
      <c r="J25" s="15">
        <v>731348.24</v>
      </c>
      <c r="K25" s="15">
        <f t="shared" si="2"/>
        <v>1973821.9699999632</v>
      </c>
      <c r="L25" s="15">
        <f t="shared" si="7"/>
        <v>2055085.25</v>
      </c>
      <c r="M25" s="15"/>
      <c r="N25" s="15"/>
    </row>
    <row r="26" spans="1:14" x14ac:dyDescent="0.25">
      <c r="A26" s="60">
        <f t="shared" si="3"/>
        <v>-13</v>
      </c>
      <c r="B26" s="61">
        <f>+B25+30</f>
        <v>44378</v>
      </c>
      <c r="C26" s="15">
        <f t="shared" si="5"/>
        <v>250799504.73000002</v>
      </c>
      <c r="D26" s="15">
        <v>243135742.42000002</v>
      </c>
      <c r="E26" s="15">
        <v>-4372671.7699999996</v>
      </c>
      <c r="F26" s="15">
        <f t="shared" si="0"/>
        <v>3291090.5399999917</v>
      </c>
      <c r="G26" s="15">
        <v>180353.56999999998</v>
      </c>
      <c r="H26" s="15">
        <f t="shared" si="1"/>
        <v>3110736.9699999918</v>
      </c>
      <c r="I26" s="15">
        <v>720617.04</v>
      </c>
      <c r="J26" s="15">
        <v>692641.22</v>
      </c>
      <c r="K26" s="15">
        <f t="shared" si="2"/>
        <v>1697478.7099999918</v>
      </c>
      <c r="L26" s="15">
        <f t="shared" si="7"/>
        <v>2055085.25</v>
      </c>
      <c r="M26" s="15"/>
      <c r="N26" s="15"/>
    </row>
    <row r="27" spans="1:14" x14ac:dyDescent="0.25">
      <c r="A27" s="60">
        <f t="shared" si="3"/>
        <v>-14</v>
      </c>
      <c r="B27" s="61">
        <f t="shared" si="4"/>
        <v>44409</v>
      </c>
      <c r="C27" s="15">
        <f t="shared" si="5"/>
        <v>243135742.42000002</v>
      </c>
      <c r="D27" s="15">
        <v>231659781.52000001</v>
      </c>
      <c r="E27" s="15">
        <v>-6749596.2300000004</v>
      </c>
      <c r="F27" s="15">
        <f t="shared" si="0"/>
        <v>4726364.6700000167</v>
      </c>
      <c r="G27" s="15">
        <v>300029.82999999996</v>
      </c>
      <c r="H27" s="15">
        <f t="shared" si="1"/>
        <v>4426334.8400000166</v>
      </c>
      <c r="I27" s="15">
        <v>1228136.54</v>
      </c>
      <c r="J27" s="15">
        <v>813526.72000000009</v>
      </c>
      <c r="K27" s="15">
        <f t="shared" si="2"/>
        <v>2384671.5800000164</v>
      </c>
      <c r="L27" s="15">
        <f t="shared" si="7"/>
        <v>2055085.25</v>
      </c>
      <c r="M27" s="15"/>
      <c r="N27" s="15"/>
    </row>
    <row r="28" spans="1:14" x14ac:dyDescent="0.25">
      <c r="A28" s="60">
        <f t="shared" si="3"/>
        <v>-15</v>
      </c>
      <c r="B28" s="61">
        <f t="shared" si="4"/>
        <v>44440</v>
      </c>
      <c r="C28" s="15">
        <f t="shared" si="5"/>
        <v>231659781.52000001</v>
      </c>
      <c r="D28" s="15">
        <v>230966861.71999997</v>
      </c>
      <c r="E28" s="15">
        <v>5297623.6799999988</v>
      </c>
      <c r="F28" s="15">
        <f t="shared" si="0"/>
        <v>5990543.4800000489</v>
      </c>
      <c r="G28" s="15">
        <v>365139.46</v>
      </c>
      <c r="H28" s="15">
        <f t="shared" si="1"/>
        <v>5625404.0200000489</v>
      </c>
      <c r="I28" s="15">
        <v>1473089.1300000001</v>
      </c>
      <c r="J28" s="15">
        <v>841676.91</v>
      </c>
      <c r="K28" s="15">
        <f t="shared" si="2"/>
        <v>3310637.9800000489</v>
      </c>
      <c r="L28" s="15">
        <f t="shared" si="7"/>
        <v>2055085.25</v>
      </c>
      <c r="M28" s="81"/>
      <c r="N28" s="15"/>
    </row>
    <row r="29" spans="1:14" x14ac:dyDescent="0.25">
      <c r="A29" s="60">
        <f t="shared" si="3"/>
        <v>-16</v>
      </c>
      <c r="B29" s="61">
        <f>+B28+30</f>
        <v>44470</v>
      </c>
      <c r="C29" s="15">
        <f t="shared" si="5"/>
        <v>230966861.71999997</v>
      </c>
      <c r="D29" s="15">
        <v>227387139.66</v>
      </c>
      <c r="E29" s="15">
        <v>2209429.02</v>
      </c>
      <c r="F29" s="15">
        <f t="shared" si="0"/>
        <v>5789151.0799999833</v>
      </c>
      <c r="G29" s="15">
        <v>420396.76</v>
      </c>
      <c r="H29" s="15">
        <f t="shared" si="1"/>
        <v>5368754.3199999835</v>
      </c>
      <c r="I29" s="15">
        <v>1589466.3</v>
      </c>
      <c r="J29" s="15">
        <v>1081289.17</v>
      </c>
      <c r="K29" s="15">
        <f t="shared" si="2"/>
        <v>2697998.8499999838</v>
      </c>
      <c r="L29" s="15">
        <f>'p3_MECO Base Rate'!C34/12</f>
        <v>2110757.5</v>
      </c>
      <c r="M29" s="98"/>
      <c r="N29" s="15"/>
    </row>
    <row r="30" spans="1:14" x14ac:dyDescent="0.25">
      <c r="A30" s="60">
        <f t="shared" si="3"/>
        <v>-17</v>
      </c>
      <c r="B30" s="61">
        <f t="shared" si="4"/>
        <v>44501</v>
      </c>
      <c r="C30" s="15">
        <f t="shared" si="5"/>
        <v>227387139.66</v>
      </c>
      <c r="D30" s="15">
        <v>220754257.64000002</v>
      </c>
      <c r="E30" s="15">
        <v>1712196.95</v>
      </c>
      <c r="F30" s="15">
        <f t="shared" si="0"/>
        <v>8345078.969999969</v>
      </c>
      <c r="G30" s="15">
        <v>483875.88999999996</v>
      </c>
      <c r="H30" s="15">
        <f t="shared" si="1"/>
        <v>7861203.0799999693</v>
      </c>
      <c r="I30" s="15">
        <v>2087283.6400000001</v>
      </c>
      <c r="J30" s="15">
        <v>1461614.6500000001</v>
      </c>
      <c r="K30" s="15">
        <f t="shared" si="2"/>
        <v>4312304.7899999693</v>
      </c>
      <c r="L30" s="15">
        <f>L29</f>
        <v>2110757.5</v>
      </c>
      <c r="M30" s="80"/>
      <c r="N30" s="15"/>
    </row>
    <row r="31" spans="1:14" x14ac:dyDescent="0.25">
      <c r="A31" s="60">
        <f t="shared" si="3"/>
        <v>-18</v>
      </c>
      <c r="B31" s="61">
        <f>+B30+30</f>
        <v>44531</v>
      </c>
      <c r="C31" s="15">
        <f t="shared" si="5"/>
        <v>220754257.64000002</v>
      </c>
      <c r="D31" s="15">
        <v>221143846.61000001</v>
      </c>
      <c r="E31" s="15">
        <v>9985833.9100000001</v>
      </c>
      <c r="F31" s="15">
        <f t="shared" si="0"/>
        <v>9596244.9399999976</v>
      </c>
      <c r="G31" s="15">
        <v>551206.51</v>
      </c>
      <c r="H31" s="15">
        <f t="shared" si="1"/>
        <v>9045038.4299999978</v>
      </c>
      <c r="I31" s="15">
        <v>2266396.1700000004</v>
      </c>
      <c r="J31" s="15">
        <v>1426683.7700000003</v>
      </c>
      <c r="K31" s="15">
        <f t="shared" si="2"/>
        <v>5351958.4899999974</v>
      </c>
      <c r="L31" s="15">
        <f t="shared" ref="L31:L52" si="8">L30</f>
        <v>2110757.5</v>
      </c>
      <c r="M31" s="15"/>
      <c r="N31" s="15"/>
    </row>
    <row r="32" spans="1:14" x14ac:dyDescent="0.25">
      <c r="A32" s="60">
        <f t="shared" si="3"/>
        <v>-19</v>
      </c>
      <c r="B32" s="61">
        <f t="shared" si="4"/>
        <v>44562</v>
      </c>
      <c r="C32" s="15">
        <f t="shared" si="5"/>
        <v>221143846.61000001</v>
      </c>
      <c r="D32" s="15">
        <v>223014723.35999995</v>
      </c>
      <c r="E32" s="15">
        <v>10446770.189999999</v>
      </c>
      <c r="F32" s="15">
        <f t="shared" si="0"/>
        <v>8575893.4400000572</v>
      </c>
      <c r="G32" s="15">
        <v>385385.15</v>
      </c>
      <c r="H32" s="15">
        <f t="shared" si="1"/>
        <v>8190508.2900000568</v>
      </c>
      <c r="I32" s="15">
        <v>2212304.8400000003</v>
      </c>
      <c r="J32" s="15">
        <v>1371409.9400000002</v>
      </c>
      <c r="K32" s="15">
        <f t="shared" si="2"/>
        <v>4606793.5100000566</v>
      </c>
      <c r="L32" s="15">
        <f t="shared" si="8"/>
        <v>2110757.5</v>
      </c>
      <c r="M32" s="15"/>
      <c r="N32" s="15"/>
    </row>
    <row r="33" spans="1:23" x14ac:dyDescent="0.25">
      <c r="A33" s="60">
        <f t="shared" si="3"/>
        <v>-20</v>
      </c>
      <c r="B33" s="61">
        <f t="shared" si="4"/>
        <v>44593</v>
      </c>
      <c r="C33" s="15">
        <f t="shared" si="5"/>
        <v>223014723.35999995</v>
      </c>
      <c r="D33" s="15">
        <v>223163583.12000003</v>
      </c>
      <c r="E33" s="15">
        <v>4438385.24</v>
      </c>
      <c r="F33" s="15">
        <f t="shared" si="0"/>
        <v>4289525.4799999297</v>
      </c>
      <c r="G33" s="15">
        <v>269085.09999999998</v>
      </c>
      <c r="H33" s="15">
        <f t="shared" si="1"/>
        <v>4020440.3799999296</v>
      </c>
      <c r="I33" s="15">
        <v>1172753.57</v>
      </c>
      <c r="J33" s="15">
        <v>654801.12000000011</v>
      </c>
      <c r="K33" s="15">
        <f t="shared" si="2"/>
        <v>2192885.6899999296</v>
      </c>
      <c r="L33" s="15">
        <f t="shared" si="8"/>
        <v>2110757.5</v>
      </c>
      <c r="M33" s="15"/>
      <c r="N33" s="15"/>
      <c r="P33" s="14" t="s">
        <v>139</v>
      </c>
    </row>
    <row r="34" spans="1:23" x14ac:dyDescent="0.25">
      <c r="A34" s="60">
        <f t="shared" si="3"/>
        <v>-21</v>
      </c>
      <c r="B34" s="61">
        <f>+B33+28</f>
        <v>44621</v>
      </c>
      <c r="C34" s="15">
        <f t="shared" si="5"/>
        <v>223163583.12000003</v>
      </c>
      <c r="D34" s="15">
        <v>221055785.54999998</v>
      </c>
      <c r="E34" s="15">
        <v>996960.55</v>
      </c>
      <c r="F34" s="15">
        <f t="shared" si="0"/>
        <v>3104758.1200000644</v>
      </c>
      <c r="G34" s="15">
        <v>102447.87999999999</v>
      </c>
      <c r="H34" s="15">
        <f t="shared" si="1"/>
        <v>3002310.2400000645</v>
      </c>
      <c r="I34" s="15">
        <v>739951.37</v>
      </c>
      <c r="J34" s="15">
        <v>478819.67000000004</v>
      </c>
      <c r="K34" s="15">
        <f t="shared" si="2"/>
        <v>1783539.2000000644</v>
      </c>
      <c r="L34" s="15">
        <f t="shared" si="8"/>
        <v>2110757.5</v>
      </c>
      <c r="M34" s="15"/>
      <c r="N34" s="15"/>
    </row>
    <row r="35" spans="1:23" x14ac:dyDescent="0.25">
      <c r="A35" s="60">
        <f t="shared" si="3"/>
        <v>-22</v>
      </c>
      <c r="B35" s="61">
        <f t="shared" si="4"/>
        <v>44652</v>
      </c>
      <c r="C35" s="15">
        <f t="shared" si="5"/>
        <v>221055785.54999998</v>
      </c>
      <c r="D35" s="15">
        <v>220189886.67000002</v>
      </c>
      <c r="E35" s="15">
        <v>1967306.99</v>
      </c>
      <c r="F35" s="15">
        <f t="shared" si="0"/>
        <v>2833205.869999975</v>
      </c>
      <c r="G35" s="15">
        <v>150926.58999999997</v>
      </c>
      <c r="H35" s="15">
        <f t="shared" si="1"/>
        <v>2682279.2799999751</v>
      </c>
      <c r="I35" s="15">
        <v>576445.78999999992</v>
      </c>
      <c r="J35" s="15">
        <v>511873.58</v>
      </c>
      <c r="K35" s="15">
        <f t="shared" si="2"/>
        <v>1593959.909999975</v>
      </c>
      <c r="L35" s="15">
        <f t="shared" si="8"/>
        <v>2110757.5</v>
      </c>
      <c r="M35" s="15"/>
      <c r="N35" s="15"/>
    </row>
    <row r="36" spans="1:23" x14ac:dyDescent="0.25">
      <c r="A36" s="60">
        <f t="shared" si="3"/>
        <v>-23</v>
      </c>
      <c r="B36" s="61">
        <f>+B35+30</f>
        <v>44682</v>
      </c>
      <c r="C36" s="15">
        <f t="shared" si="5"/>
        <v>220189886.67000002</v>
      </c>
      <c r="D36" s="15">
        <v>218056852.08000004</v>
      </c>
      <c r="E36" s="15">
        <v>1062785.1800000002</v>
      </c>
      <c r="F36" s="15">
        <f t="shared" si="0"/>
        <v>3195819.7699999809</v>
      </c>
      <c r="G36" s="15">
        <v>182911.83999999997</v>
      </c>
      <c r="H36" s="15">
        <f t="shared" si="1"/>
        <v>3012907.9299999811</v>
      </c>
      <c r="I36" s="15">
        <v>732457.32999999984</v>
      </c>
      <c r="J36" s="15">
        <v>519823.46</v>
      </c>
      <c r="K36" s="15">
        <f t="shared" si="2"/>
        <v>1760627.139999981</v>
      </c>
      <c r="L36" s="15">
        <f t="shared" si="8"/>
        <v>2110757.5</v>
      </c>
      <c r="M36" s="15"/>
      <c r="N36" s="15"/>
    </row>
    <row r="37" spans="1:23" x14ac:dyDescent="0.25">
      <c r="A37" s="60">
        <f t="shared" si="3"/>
        <v>-24</v>
      </c>
      <c r="B37" s="61">
        <f t="shared" si="4"/>
        <v>44713</v>
      </c>
      <c r="C37" s="15">
        <f t="shared" si="5"/>
        <v>218056852.08000004</v>
      </c>
      <c r="D37" s="15">
        <v>213669714.75999999</v>
      </c>
      <c r="E37" s="15">
        <v>2372969.9700000002</v>
      </c>
      <c r="F37" s="15">
        <f t="shared" si="0"/>
        <v>6760107.2900000513</v>
      </c>
      <c r="G37" s="15">
        <v>214090.60000000003</v>
      </c>
      <c r="H37" s="15">
        <f t="shared" si="1"/>
        <v>6546016.6900000516</v>
      </c>
      <c r="I37" s="15">
        <v>1503634.49</v>
      </c>
      <c r="J37" s="15">
        <v>1236833.68</v>
      </c>
      <c r="K37" s="15">
        <f t="shared" si="2"/>
        <v>3805548.5200000517</v>
      </c>
      <c r="L37" s="15">
        <f t="shared" si="8"/>
        <v>2110757.5</v>
      </c>
      <c r="M37" s="15"/>
      <c r="N37" s="15"/>
      <c r="P37" s="15"/>
      <c r="Q37" s="15"/>
      <c r="R37" s="15"/>
      <c r="T37" s="15"/>
      <c r="U37" s="15"/>
      <c r="V37" s="15"/>
      <c r="W37" s="15"/>
    </row>
    <row r="38" spans="1:23" x14ac:dyDescent="0.25">
      <c r="A38" s="60">
        <f t="shared" si="3"/>
        <v>-25</v>
      </c>
      <c r="B38" s="61">
        <f t="shared" si="4"/>
        <v>44744</v>
      </c>
      <c r="C38" s="15">
        <f t="shared" si="5"/>
        <v>213669714.75999999</v>
      </c>
      <c r="D38" s="15">
        <v>211631656.39999992</v>
      </c>
      <c r="E38" s="15">
        <v>4340723.5599999996</v>
      </c>
      <c r="F38" s="15">
        <f t="shared" si="0"/>
        <v>6378781.9200000763</v>
      </c>
      <c r="G38" s="15">
        <v>158510.35999999999</v>
      </c>
      <c r="H38" s="15">
        <f t="shared" si="1"/>
        <v>6220271.560000076</v>
      </c>
      <c r="I38" s="15">
        <v>1589282.7500000002</v>
      </c>
      <c r="J38" s="15">
        <v>1366498.0799999998</v>
      </c>
      <c r="K38" s="15">
        <f t="shared" si="2"/>
        <v>3264490.7300000759</v>
      </c>
      <c r="L38" s="15">
        <f t="shared" si="8"/>
        <v>2110757.5</v>
      </c>
      <c r="M38" s="15"/>
      <c r="N38" s="15"/>
      <c r="R38" s="15"/>
      <c r="V38" s="15"/>
      <c r="W38" s="15"/>
    </row>
    <row r="39" spans="1:23" x14ac:dyDescent="0.25">
      <c r="A39" s="60">
        <f t="shared" si="3"/>
        <v>-26</v>
      </c>
      <c r="B39" s="61">
        <f t="shared" si="4"/>
        <v>44775</v>
      </c>
      <c r="C39" s="15">
        <f t="shared" si="5"/>
        <v>211631656.39999992</v>
      </c>
      <c r="D39" s="15">
        <v>208713081.94999999</v>
      </c>
      <c r="E39" s="15">
        <v>8392077.5</v>
      </c>
      <c r="F39" s="15">
        <f t="shared" si="0"/>
        <v>11310651.949999928</v>
      </c>
      <c r="G39" s="15">
        <v>432626.80999999994</v>
      </c>
      <c r="H39" s="15">
        <f t="shared" si="1"/>
        <v>10878025.139999928</v>
      </c>
      <c r="I39" s="15">
        <v>2281711.7799999998</v>
      </c>
      <c r="J39" s="15">
        <v>2600705.6999999997</v>
      </c>
      <c r="K39" s="15">
        <f t="shared" si="2"/>
        <v>5995607.6599999294</v>
      </c>
      <c r="L39" s="15">
        <f t="shared" si="8"/>
        <v>2110757.5</v>
      </c>
      <c r="M39" s="15"/>
      <c r="N39" s="15"/>
    </row>
    <row r="40" spans="1:23" x14ac:dyDescent="0.25">
      <c r="A40" s="60">
        <f t="shared" si="3"/>
        <v>-27</v>
      </c>
      <c r="B40" s="61">
        <f t="shared" si="4"/>
        <v>44806</v>
      </c>
      <c r="C40" s="15">
        <f t="shared" si="5"/>
        <v>208713081.94999999</v>
      </c>
      <c r="D40" s="15">
        <v>207253016.92000002</v>
      </c>
      <c r="E40" s="15">
        <v>5839341.3899999987</v>
      </c>
      <c r="F40" s="15">
        <f t="shared" si="0"/>
        <v>7299406.4199999571</v>
      </c>
      <c r="G40" s="15">
        <v>219763.47</v>
      </c>
      <c r="H40" s="15">
        <f t="shared" si="1"/>
        <v>7079642.9499999573</v>
      </c>
      <c r="I40" s="15">
        <v>2020686.4800000002</v>
      </c>
      <c r="J40" s="15">
        <v>1507198.8099999998</v>
      </c>
      <c r="K40" s="15">
        <f t="shared" si="2"/>
        <v>3551757.6599999573</v>
      </c>
      <c r="L40" s="15">
        <f t="shared" si="8"/>
        <v>2110757.5</v>
      </c>
      <c r="M40" s="81"/>
      <c r="N40" s="15"/>
    </row>
    <row r="41" spans="1:23" x14ac:dyDescent="0.25">
      <c r="A41" s="60">
        <f t="shared" si="3"/>
        <v>-28</v>
      </c>
      <c r="B41" s="61">
        <f t="shared" si="4"/>
        <v>44837</v>
      </c>
      <c r="C41" s="15">
        <f t="shared" si="5"/>
        <v>207253016.92000002</v>
      </c>
      <c r="D41" s="15">
        <v>199963540.14000002</v>
      </c>
      <c r="E41" s="15">
        <v>-630155.2300000001</v>
      </c>
      <c r="F41" s="15">
        <f t="shared" si="0"/>
        <v>6659321.5500000119</v>
      </c>
      <c r="G41" s="15">
        <v>311080.49000000011</v>
      </c>
      <c r="H41" s="15">
        <f t="shared" si="1"/>
        <v>6348241.0600000117</v>
      </c>
      <c r="I41" s="15">
        <v>1875320.02</v>
      </c>
      <c r="J41" s="15">
        <v>1278411.8600000001</v>
      </c>
      <c r="K41" s="15">
        <f t="shared" si="2"/>
        <v>3194509.1800000118</v>
      </c>
      <c r="L41" s="15">
        <f>'p3_MECO Base Rate'!C44/12</f>
        <v>2214606.7689999999</v>
      </c>
      <c r="M41" s="98"/>
      <c r="N41" s="15"/>
    </row>
    <row r="42" spans="1:23" x14ac:dyDescent="0.25">
      <c r="A42" s="60">
        <f t="shared" si="3"/>
        <v>-29</v>
      </c>
      <c r="B42" s="61">
        <f t="shared" si="4"/>
        <v>44868</v>
      </c>
      <c r="C42" s="15">
        <f t="shared" si="5"/>
        <v>199963540.14000002</v>
      </c>
      <c r="D42" s="15">
        <v>200682463.55999997</v>
      </c>
      <c r="E42" s="15">
        <v>7041466.8400000008</v>
      </c>
      <c r="F42" s="15">
        <f t="shared" si="0"/>
        <v>6322543.4200000465</v>
      </c>
      <c r="G42" s="15">
        <v>217871.82999999996</v>
      </c>
      <c r="H42" s="15">
        <f t="shared" si="1"/>
        <v>6104671.5900000464</v>
      </c>
      <c r="I42" s="15">
        <v>1647115.1099999999</v>
      </c>
      <c r="J42" s="15">
        <v>1350176.5300000003</v>
      </c>
      <c r="K42" s="15">
        <f t="shared" si="2"/>
        <v>3107379.9500000468</v>
      </c>
      <c r="L42" s="15">
        <f t="shared" si="8"/>
        <v>2214606.7689999999</v>
      </c>
      <c r="M42" s="80"/>
      <c r="N42" s="15"/>
    </row>
    <row r="43" spans="1:23" x14ac:dyDescent="0.25">
      <c r="A43" s="60">
        <f t="shared" si="3"/>
        <v>-30</v>
      </c>
      <c r="B43" s="61">
        <f t="shared" si="4"/>
        <v>44899</v>
      </c>
      <c r="C43" s="15">
        <f t="shared" si="5"/>
        <v>200682463.55999997</v>
      </c>
      <c r="D43" s="15">
        <v>205441998.55000001</v>
      </c>
      <c r="E43" s="15">
        <v>11696410.659999998</v>
      </c>
      <c r="F43" s="15">
        <f t="shared" si="0"/>
        <v>6936875.6699999571</v>
      </c>
      <c r="G43" s="15">
        <v>169940.01999999996</v>
      </c>
      <c r="H43" s="15">
        <f t="shared" si="1"/>
        <v>6766935.6499999575</v>
      </c>
      <c r="I43" s="15">
        <v>1852339.4600000002</v>
      </c>
      <c r="J43" s="15">
        <v>1265598.5100000002</v>
      </c>
      <c r="K43" s="15">
        <f t="shared" si="2"/>
        <v>3648997.6799999573</v>
      </c>
      <c r="L43" s="15">
        <f t="shared" si="8"/>
        <v>2214606.7689999999</v>
      </c>
      <c r="M43" s="15"/>
      <c r="N43" s="15"/>
    </row>
    <row r="44" spans="1:23" x14ac:dyDescent="0.25">
      <c r="A44" s="60">
        <f t="shared" si="3"/>
        <v>-31</v>
      </c>
      <c r="B44" s="61">
        <f t="shared" si="4"/>
        <v>44930</v>
      </c>
      <c r="C44" s="15">
        <f t="shared" si="5"/>
        <v>205441998.55000001</v>
      </c>
      <c r="D44" s="15">
        <v>207939321.59999999</v>
      </c>
      <c r="E44" s="15">
        <v>9264370.7599999998</v>
      </c>
      <c r="F44" s="15">
        <f t="shared" si="0"/>
        <v>6767047.7100000083</v>
      </c>
      <c r="G44" s="15">
        <v>341644.92999999993</v>
      </c>
      <c r="H44" s="15">
        <f t="shared" si="1"/>
        <v>6425402.7800000086</v>
      </c>
      <c r="I44" s="15">
        <v>1675799.35</v>
      </c>
      <c r="J44" s="15">
        <v>1373709.03</v>
      </c>
      <c r="K44" s="15">
        <f t="shared" si="2"/>
        <v>3375894.4000000088</v>
      </c>
      <c r="L44" s="15">
        <f t="shared" si="8"/>
        <v>2214606.7689999999</v>
      </c>
      <c r="M44" s="15"/>
      <c r="N44" s="15"/>
    </row>
    <row r="45" spans="1:23" x14ac:dyDescent="0.25">
      <c r="A45" s="60">
        <f t="shared" si="3"/>
        <v>-32</v>
      </c>
      <c r="B45" s="61">
        <f t="shared" si="4"/>
        <v>44961</v>
      </c>
      <c r="C45" s="15">
        <f t="shared" si="5"/>
        <v>207939321.59999999</v>
      </c>
      <c r="D45" s="15">
        <v>201245022.44</v>
      </c>
      <c r="E45" s="15">
        <v>-1064274.76</v>
      </c>
      <c r="F45" s="15">
        <f t="shared" si="0"/>
        <v>5630024.400000006</v>
      </c>
      <c r="G45" s="15">
        <v>195544.09000000003</v>
      </c>
      <c r="H45" s="15">
        <f t="shared" si="1"/>
        <v>5434480.3100000061</v>
      </c>
      <c r="I45" s="15">
        <v>1334600.0399999998</v>
      </c>
      <c r="J45" s="15">
        <v>1152070.4800000002</v>
      </c>
      <c r="K45" s="15">
        <f t="shared" si="2"/>
        <v>2947809.7900000056</v>
      </c>
      <c r="L45" s="15">
        <f t="shared" si="8"/>
        <v>2214606.7689999999</v>
      </c>
      <c r="M45" s="15"/>
      <c r="N45" s="15"/>
    </row>
    <row r="46" spans="1:23" x14ac:dyDescent="0.25">
      <c r="A46" s="60">
        <f t="shared" si="3"/>
        <v>-33</v>
      </c>
      <c r="B46" s="61">
        <f t="shared" si="4"/>
        <v>44992</v>
      </c>
      <c r="C46" s="15">
        <f t="shared" si="5"/>
        <v>201245022.44</v>
      </c>
      <c r="D46" s="15">
        <v>205428070.44000003</v>
      </c>
      <c r="E46" s="15">
        <v>8789468.2300000004</v>
      </c>
      <c r="F46" s="15">
        <f t="shared" si="0"/>
        <v>4606420.2299999595</v>
      </c>
      <c r="G46" s="15">
        <v>122978.90999999997</v>
      </c>
      <c r="H46" s="15">
        <f t="shared" si="1"/>
        <v>4483441.3199999593</v>
      </c>
      <c r="I46" s="15">
        <v>1102593.5299999998</v>
      </c>
      <c r="J46" s="15">
        <v>1025639.86</v>
      </c>
      <c r="K46" s="15">
        <f t="shared" si="2"/>
        <v>2355207.9299999597</v>
      </c>
      <c r="L46" s="15">
        <f t="shared" si="8"/>
        <v>2214606.7689999999</v>
      </c>
      <c r="M46" s="15"/>
      <c r="N46" s="15"/>
    </row>
    <row r="47" spans="1:23" x14ac:dyDescent="0.25">
      <c r="A47" s="60">
        <f t="shared" si="3"/>
        <v>-34</v>
      </c>
      <c r="B47" s="61">
        <f t="shared" si="4"/>
        <v>45023</v>
      </c>
      <c r="C47" s="15">
        <f t="shared" si="5"/>
        <v>205428070.44000003</v>
      </c>
      <c r="D47" s="15">
        <v>209241895.39000005</v>
      </c>
      <c r="E47" s="15">
        <v>7676057.3399999999</v>
      </c>
      <c r="F47" s="15">
        <f t="shared" si="0"/>
        <v>3862232.3899999857</v>
      </c>
      <c r="G47" s="15">
        <v>117001.4</v>
      </c>
      <c r="H47" s="15">
        <f t="shared" si="1"/>
        <v>3745230.9899999858</v>
      </c>
      <c r="I47" s="15">
        <v>912306.89000000013</v>
      </c>
      <c r="J47" s="15">
        <v>903602.6399999999</v>
      </c>
      <c r="K47" s="15">
        <f t="shared" si="2"/>
        <v>1929321.4599999858</v>
      </c>
      <c r="L47" s="15">
        <f t="shared" si="8"/>
        <v>2214606.7689999999</v>
      </c>
      <c r="M47" s="15"/>
      <c r="N47" s="15"/>
    </row>
    <row r="48" spans="1:23" x14ac:dyDescent="0.25">
      <c r="A48" s="60">
        <f t="shared" si="3"/>
        <v>-35</v>
      </c>
      <c r="B48" s="61">
        <f t="shared" si="4"/>
        <v>45054</v>
      </c>
      <c r="C48" s="15">
        <f t="shared" si="5"/>
        <v>209241895.39000005</v>
      </c>
      <c r="D48" s="15">
        <v>213298252.06000003</v>
      </c>
      <c r="E48" s="15">
        <v>8217085.7699999996</v>
      </c>
      <c r="F48" s="15">
        <f t="shared" si="0"/>
        <v>4160729.1000000238</v>
      </c>
      <c r="G48" s="15">
        <v>107398.41999999998</v>
      </c>
      <c r="H48" s="15">
        <f t="shared" si="1"/>
        <v>4053330.6800000239</v>
      </c>
      <c r="I48" s="15">
        <v>856416.91999999993</v>
      </c>
      <c r="J48" s="15">
        <v>1012399.1900000001</v>
      </c>
      <c r="K48" s="15">
        <f t="shared" si="2"/>
        <v>2184514.570000024</v>
      </c>
      <c r="L48" s="15">
        <f t="shared" si="8"/>
        <v>2214606.7689999999</v>
      </c>
      <c r="M48" s="15"/>
      <c r="N48" s="15"/>
    </row>
    <row r="49" spans="1:14" x14ac:dyDescent="0.25">
      <c r="A49" s="60">
        <f t="shared" si="3"/>
        <v>-36</v>
      </c>
      <c r="B49" s="61">
        <f t="shared" si="4"/>
        <v>45085</v>
      </c>
      <c r="C49" s="15">
        <f t="shared" si="5"/>
        <v>213298252.06000003</v>
      </c>
      <c r="D49" s="15">
        <v>212352888.85999995</v>
      </c>
      <c r="E49" s="15">
        <v>6207632.3999999994</v>
      </c>
      <c r="F49" s="15">
        <f t="shared" si="0"/>
        <v>7152995.6000000834</v>
      </c>
      <c r="G49" s="15">
        <v>117073.66999999998</v>
      </c>
      <c r="H49" s="15">
        <f t="shared" si="1"/>
        <v>7035921.9300000835</v>
      </c>
      <c r="I49" s="15">
        <v>1157353.1600000001</v>
      </c>
      <c r="J49" s="15">
        <v>2578448.0300000003</v>
      </c>
      <c r="K49" s="15">
        <f t="shared" si="2"/>
        <v>3300120.7400000831</v>
      </c>
      <c r="L49" s="15">
        <f t="shared" si="8"/>
        <v>2214606.7689999999</v>
      </c>
      <c r="M49" s="15"/>
      <c r="N49" s="15"/>
    </row>
    <row r="50" spans="1:14" x14ac:dyDescent="0.25">
      <c r="A50" s="60">
        <f t="shared" si="3"/>
        <v>-37</v>
      </c>
      <c r="B50" s="61">
        <f t="shared" si="4"/>
        <v>45116</v>
      </c>
      <c r="C50" s="15">
        <f t="shared" si="5"/>
        <v>212352888.85999995</v>
      </c>
      <c r="D50" s="15">
        <v>213226816.65000001</v>
      </c>
      <c r="E50" s="15">
        <v>7851302.8799999999</v>
      </c>
      <c r="F50" s="15">
        <f t="shared" si="0"/>
        <v>6977375.089999944</v>
      </c>
      <c r="G50" s="15">
        <v>70941.899999999994</v>
      </c>
      <c r="H50" s="15">
        <f t="shared" si="1"/>
        <v>6906433.1899999436</v>
      </c>
      <c r="I50" s="15">
        <v>1922297.3599999999</v>
      </c>
      <c r="J50" s="15">
        <v>2167904.35</v>
      </c>
      <c r="K50" s="15">
        <f t="shared" si="2"/>
        <v>2816231.4799999441</v>
      </c>
      <c r="L50" s="15">
        <f t="shared" si="8"/>
        <v>2214606.7689999999</v>
      </c>
      <c r="M50" s="15"/>
      <c r="N50" s="15"/>
    </row>
    <row r="51" spans="1:14" x14ac:dyDescent="0.25">
      <c r="A51" s="60">
        <f t="shared" si="3"/>
        <v>-38</v>
      </c>
      <c r="B51" s="61">
        <f t="shared" si="4"/>
        <v>45147</v>
      </c>
      <c r="C51" s="15">
        <f t="shared" si="5"/>
        <v>213226816.65000001</v>
      </c>
      <c r="D51" s="15">
        <v>212055017.67999998</v>
      </c>
      <c r="E51" s="15">
        <v>8700381.7899999991</v>
      </c>
      <c r="F51" s="15">
        <f t="shared" si="0"/>
        <v>9872180.7600000203</v>
      </c>
      <c r="G51" s="15">
        <v>166230.48000000001</v>
      </c>
      <c r="H51" s="15">
        <f t="shared" si="1"/>
        <v>9705950.2800000198</v>
      </c>
      <c r="I51" s="15">
        <v>2070986.2200000002</v>
      </c>
      <c r="J51" s="15">
        <v>3403660.5700000003</v>
      </c>
      <c r="K51" s="15">
        <f t="shared" si="2"/>
        <v>4231303.4900000188</v>
      </c>
      <c r="L51" s="15">
        <f t="shared" si="8"/>
        <v>2214606.7689999999</v>
      </c>
      <c r="M51" s="15"/>
      <c r="N51" s="15"/>
    </row>
    <row r="52" spans="1:14" x14ac:dyDescent="0.25">
      <c r="A52" s="60">
        <f t="shared" si="3"/>
        <v>-39</v>
      </c>
      <c r="B52" s="61">
        <f t="shared" si="4"/>
        <v>45178</v>
      </c>
      <c r="C52" s="15">
        <f t="shared" si="5"/>
        <v>212055017.67999998</v>
      </c>
      <c r="D52" s="15">
        <v>210235506.70999995</v>
      </c>
      <c r="E52" s="15">
        <v>7412486.8600000003</v>
      </c>
      <c r="F52" s="15">
        <f t="shared" si="0"/>
        <v>9231997.8300000429</v>
      </c>
      <c r="G52" s="15">
        <v>302062.13999999996</v>
      </c>
      <c r="H52" s="15">
        <f t="shared" si="1"/>
        <v>8929935.6900000423</v>
      </c>
      <c r="I52" s="15">
        <v>2403468.84</v>
      </c>
      <c r="J52" s="15">
        <v>2743792.09</v>
      </c>
      <c r="K52" s="15">
        <f t="shared" si="2"/>
        <v>3782674.7600000426</v>
      </c>
      <c r="L52" s="15">
        <f t="shared" si="8"/>
        <v>2214606.7689999999</v>
      </c>
      <c r="M52" s="81"/>
      <c r="N52" s="15"/>
    </row>
    <row r="53" spans="1:14" x14ac:dyDescent="0.25">
      <c r="A53" s="60">
        <f t="shared" si="3"/>
        <v>-40</v>
      </c>
      <c r="B53" s="61">
        <f t="shared" si="4"/>
        <v>45209</v>
      </c>
      <c r="C53" s="15">
        <f t="shared" si="5"/>
        <v>210235506.70999995</v>
      </c>
      <c r="D53" s="15">
        <v>206013128.15000001</v>
      </c>
      <c r="E53" s="15">
        <v>3744490.87</v>
      </c>
      <c r="F53" s="15">
        <f t="shared" si="0"/>
        <v>7966869.4299999475</v>
      </c>
      <c r="G53" s="15">
        <v>214059.02999999997</v>
      </c>
      <c r="H53" s="15">
        <f t="shared" si="1"/>
        <v>7752810.3999999473</v>
      </c>
      <c r="I53" s="15">
        <v>2175774.48</v>
      </c>
      <c r="J53" s="15">
        <v>2460954.21</v>
      </c>
      <c r="K53" s="15">
        <f t="shared" si="2"/>
        <v>3116081.7099999478</v>
      </c>
      <c r="L53" s="15">
        <f>'p3_MECO Base Rate'!C52/12</f>
        <v>2367414.6360610002</v>
      </c>
      <c r="M53" s="98"/>
      <c r="N53" s="15"/>
    </row>
    <row r="54" spans="1:14" x14ac:dyDescent="0.25">
      <c r="A54" s="60">
        <f t="shared" si="3"/>
        <v>-41</v>
      </c>
      <c r="B54" s="61">
        <f t="shared" si="4"/>
        <v>45240</v>
      </c>
      <c r="C54" s="15">
        <f t="shared" si="5"/>
        <v>206013128.15000001</v>
      </c>
      <c r="D54" s="15">
        <v>206855266.68000001</v>
      </c>
      <c r="E54" s="15">
        <v>8997685.0199999996</v>
      </c>
      <c r="F54" s="15">
        <f t="shared" si="0"/>
        <v>8155546.4900000095</v>
      </c>
      <c r="G54" s="15">
        <v>171919.11</v>
      </c>
      <c r="H54" s="15">
        <f t="shared" si="1"/>
        <v>7983627.3800000092</v>
      </c>
      <c r="I54" s="15">
        <v>1937510.17</v>
      </c>
      <c r="J54" s="15">
        <v>2733762.16</v>
      </c>
      <c r="K54" s="15">
        <f t="shared" si="2"/>
        <v>3312355.0500000091</v>
      </c>
      <c r="L54" s="15">
        <f t="shared" ref="L54:L60" si="9">L53</f>
        <v>2367414.6360610002</v>
      </c>
      <c r="M54" s="80"/>
      <c r="N54" s="15"/>
    </row>
    <row r="55" spans="1:14" x14ac:dyDescent="0.25">
      <c r="A55" s="60">
        <f t="shared" si="3"/>
        <v>-42</v>
      </c>
      <c r="B55" s="61">
        <f t="shared" si="4"/>
        <v>45271</v>
      </c>
      <c r="C55" s="15">
        <f t="shared" si="5"/>
        <v>206855266.68000001</v>
      </c>
      <c r="D55" s="15">
        <v>210746954.77000001</v>
      </c>
      <c r="E55" s="15">
        <v>11972636.630000001</v>
      </c>
      <c r="F55" s="15">
        <f t="shared" si="0"/>
        <v>8080948.5399999917</v>
      </c>
      <c r="G55" s="15">
        <v>187172.8</v>
      </c>
      <c r="H55" s="15">
        <f t="shared" si="1"/>
        <v>7893775.7399999918</v>
      </c>
      <c r="I55" s="15">
        <v>1875709.59</v>
      </c>
      <c r="J55" s="15">
        <v>2453085.63</v>
      </c>
      <c r="K55" s="15">
        <f t="shared" si="2"/>
        <v>3564980.5199999921</v>
      </c>
      <c r="L55" s="15">
        <f t="shared" si="9"/>
        <v>2367414.6360610002</v>
      </c>
      <c r="M55" s="80"/>
      <c r="N55" s="15"/>
    </row>
    <row r="56" spans="1:14" x14ac:dyDescent="0.25">
      <c r="A56" s="60">
        <f t="shared" si="3"/>
        <v>-43</v>
      </c>
      <c r="B56" s="61">
        <f t="shared" si="4"/>
        <v>45302</v>
      </c>
      <c r="C56" s="15">
        <f t="shared" si="5"/>
        <v>210746954.77000001</v>
      </c>
      <c r="D56" s="15">
        <v>200242744.53999999</v>
      </c>
      <c r="E56" s="15">
        <v>-1806266.48</v>
      </c>
      <c r="F56" s="15">
        <f t="shared" si="0"/>
        <v>8697943.7500000298</v>
      </c>
      <c r="G56" s="15">
        <v>111894.73</v>
      </c>
      <c r="H56" s="15">
        <f t="shared" si="1"/>
        <v>8586049.0200000294</v>
      </c>
      <c r="I56" s="15">
        <v>2155068.4700000002</v>
      </c>
      <c r="J56" s="15">
        <v>2452568.9499999997</v>
      </c>
      <c r="K56" s="15">
        <f t="shared" si="2"/>
        <v>3978411.600000029</v>
      </c>
      <c r="L56" s="15">
        <f t="shared" si="9"/>
        <v>2367414.6360610002</v>
      </c>
      <c r="M56" s="80"/>
      <c r="N56" s="15"/>
    </row>
    <row r="57" spans="1:14" x14ac:dyDescent="0.25">
      <c r="A57" s="60">
        <f t="shared" si="3"/>
        <v>-44</v>
      </c>
      <c r="B57" s="61">
        <f t="shared" si="4"/>
        <v>45333</v>
      </c>
      <c r="C57" s="15">
        <f t="shared" si="5"/>
        <v>200242744.53999999</v>
      </c>
      <c r="D57" s="15">
        <v>202550550.09999999</v>
      </c>
      <c r="E57" s="15">
        <v>10200025.83</v>
      </c>
      <c r="F57" s="15">
        <f t="shared" si="0"/>
        <v>7892220.2700000107</v>
      </c>
      <c r="G57" s="15">
        <v>50922.13</v>
      </c>
      <c r="H57" s="15">
        <f t="shared" si="1"/>
        <v>7841298.1400000108</v>
      </c>
      <c r="I57" s="15">
        <v>1625049.8099999998</v>
      </c>
      <c r="J57" s="15">
        <v>1560014.06</v>
      </c>
      <c r="K57" s="15">
        <f t="shared" si="2"/>
        <v>4656234.2700000107</v>
      </c>
      <c r="L57" s="15">
        <f t="shared" si="9"/>
        <v>2367414.6360610002</v>
      </c>
      <c r="M57" s="80"/>
      <c r="N57" s="15"/>
    </row>
    <row r="58" spans="1:14" x14ac:dyDescent="0.25">
      <c r="A58" s="60">
        <f t="shared" si="3"/>
        <v>-45</v>
      </c>
      <c r="B58" s="61">
        <f t="shared" si="4"/>
        <v>45364</v>
      </c>
      <c r="C58" s="15">
        <f t="shared" si="5"/>
        <v>202550550.09999999</v>
      </c>
      <c r="D58" s="15">
        <v>204932925.41999993</v>
      </c>
      <c r="E58" s="15">
        <v>6394772.8700000001</v>
      </c>
      <c r="F58" s="15">
        <f t="shared" si="0"/>
        <v>4012397.5500000715</v>
      </c>
      <c r="G58" s="15">
        <v>111619.97999999998</v>
      </c>
      <c r="H58" s="15">
        <f t="shared" si="1"/>
        <v>3900777.5700000715</v>
      </c>
      <c r="I58" s="15">
        <v>1151371.4399999997</v>
      </c>
      <c r="J58" s="15">
        <v>864365.55999999994</v>
      </c>
      <c r="K58" s="15">
        <f t="shared" si="2"/>
        <v>1885040.5700000715</v>
      </c>
      <c r="L58" s="15">
        <f t="shared" si="9"/>
        <v>2367414.6360610002</v>
      </c>
      <c r="M58" s="80"/>
      <c r="N58" s="15"/>
    </row>
    <row r="59" spans="1:14" x14ac:dyDescent="0.25">
      <c r="A59" s="60">
        <f t="shared" si="3"/>
        <v>-46</v>
      </c>
      <c r="B59" s="61">
        <f t="shared" si="4"/>
        <v>45395</v>
      </c>
      <c r="C59" s="15">
        <f t="shared" si="5"/>
        <v>204932925.41999993</v>
      </c>
      <c r="D59" s="15">
        <v>205459864.05000007</v>
      </c>
      <c r="E59" s="15">
        <v>6541713.5300000003</v>
      </c>
      <c r="F59" s="15">
        <f t="shared" si="0"/>
        <v>6014774.8999998569</v>
      </c>
      <c r="G59" s="15">
        <v>88174.87999999999</v>
      </c>
      <c r="H59" s="15">
        <f t="shared" si="1"/>
        <v>5926600.0199998571</v>
      </c>
      <c r="I59" s="15">
        <v>1232240.1700000002</v>
      </c>
      <c r="J59" s="15">
        <v>1348041.72</v>
      </c>
      <c r="K59" s="15">
        <f t="shared" si="2"/>
        <v>3346318.1299998574</v>
      </c>
      <c r="L59" s="15">
        <f t="shared" si="9"/>
        <v>2367414.6360610002</v>
      </c>
      <c r="M59" s="80"/>
      <c r="N59" s="15"/>
    </row>
    <row r="60" spans="1:14" x14ac:dyDescent="0.25">
      <c r="A60" s="60">
        <f t="shared" si="3"/>
        <v>-47</v>
      </c>
      <c r="B60" s="61">
        <f t="shared" si="4"/>
        <v>45426</v>
      </c>
      <c r="C60" s="15">
        <f t="shared" si="5"/>
        <v>205459864.05000007</v>
      </c>
      <c r="D60" s="15">
        <v>206413200.05000004</v>
      </c>
      <c r="E60" s="15">
        <v>5776580.6899999995</v>
      </c>
      <c r="F60" s="15">
        <f t="shared" si="0"/>
        <v>4823244.6900000274</v>
      </c>
      <c r="G60" s="15">
        <v>129020.51000000001</v>
      </c>
      <c r="H60" s="15">
        <f t="shared" si="1"/>
        <v>4694224.1800000276</v>
      </c>
      <c r="I60" s="15">
        <v>1432573.81</v>
      </c>
      <c r="J60" s="15">
        <v>1002676.7499999999</v>
      </c>
      <c r="K60" s="15">
        <f t="shared" si="2"/>
        <v>2258973.6200000276</v>
      </c>
      <c r="L60" s="15">
        <f t="shared" si="9"/>
        <v>2367414.6360610002</v>
      </c>
      <c r="M60" s="80"/>
      <c r="N60" s="15"/>
    </row>
    <row r="61" spans="1:14" x14ac:dyDescent="0.25">
      <c r="A61" s="60">
        <f t="shared" si="3"/>
        <v>-48</v>
      </c>
      <c r="B61" s="61">
        <f t="shared" si="4"/>
        <v>45457</v>
      </c>
      <c r="C61" s="15">
        <f t="shared" si="5"/>
        <v>206413200.05000004</v>
      </c>
      <c r="D61" s="15">
        <v>205301821.46000001</v>
      </c>
      <c r="E61" s="15">
        <v>5586798.9799999995</v>
      </c>
      <c r="F61" s="15">
        <f t="shared" si="0"/>
        <v>6698177.5700000226</v>
      </c>
      <c r="G61" s="15">
        <v>218703.97000000003</v>
      </c>
      <c r="H61" s="15">
        <f t="shared" si="1"/>
        <v>6479473.6000000229</v>
      </c>
      <c r="I61" s="15">
        <v>1711981.84</v>
      </c>
      <c r="J61" s="15">
        <v>1459440.05</v>
      </c>
      <c r="K61" s="15">
        <f t="shared" si="2"/>
        <v>3308051.7100000232</v>
      </c>
      <c r="L61" s="15">
        <f>+L60</f>
        <v>2367414.6360610002</v>
      </c>
      <c r="M61" s="80"/>
      <c r="N61" s="15"/>
    </row>
    <row r="62" spans="1:14" x14ac:dyDescent="0.25">
      <c r="A62" s="60"/>
      <c r="B62" s="61"/>
      <c r="C62" s="15"/>
      <c r="D62" s="15"/>
      <c r="E62" s="15"/>
      <c r="F62" s="15"/>
      <c r="G62" s="15"/>
      <c r="H62" s="15"/>
      <c r="I62" s="15"/>
      <c r="J62" s="15"/>
      <c r="K62" s="15"/>
      <c r="M62" s="98"/>
    </row>
    <row r="63" spans="1:14" x14ac:dyDescent="0.25">
      <c r="A63" s="60">
        <f>+A61-1</f>
        <v>-49</v>
      </c>
      <c r="B63" s="61" t="s">
        <v>138</v>
      </c>
      <c r="C63" s="15"/>
      <c r="D63" s="15"/>
      <c r="E63" s="15"/>
      <c r="F63" s="15"/>
      <c r="G63" s="15"/>
      <c r="H63" s="15"/>
      <c r="I63" s="15"/>
      <c r="J63" s="15"/>
      <c r="K63" s="15">
        <f>SUM(K14:K61)</f>
        <v>130065414.9600001</v>
      </c>
      <c r="L63" s="15">
        <f>SUM(L14:L61)</f>
        <v>103844069.95254895</v>
      </c>
      <c r="M63" s="15"/>
      <c r="N63" s="15"/>
    </row>
    <row r="64" spans="1:14" x14ac:dyDescent="0.25">
      <c r="L64" s="15"/>
      <c r="M64" s="15"/>
      <c r="N64" s="15"/>
    </row>
    <row r="65" spans="1:14" x14ac:dyDescent="0.25">
      <c r="A65" s="62"/>
      <c r="K65" s="15"/>
      <c r="L65" s="15"/>
      <c r="M65" s="15"/>
      <c r="N65" s="15"/>
    </row>
    <row r="66" spans="1:14" x14ac:dyDescent="0.25">
      <c r="L66" s="15"/>
      <c r="M66" s="15"/>
      <c r="N66" s="15"/>
    </row>
    <row r="67" spans="1:14" x14ac:dyDescent="0.25">
      <c r="A67" s="98" t="str">
        <f>+C12</f>
        <v>(a)</v>
      </c>
      <c r="B67" s="20" t="s">
        <v>74</v>
      </c>
    </row>
    <row r="68" spans="1:14" x14ac:dyDescent="0.25">
      <c r="A68" s="98" t="str">
        <f>+D12</f>
        <v>(b)</v>
      </c>
      <c r="B68" s="20" t="s">
        <v>74</v>
      </c>
    </row>
    <row r="69" spans="1:14" x14ac:dyDescent="0.25">
      <c r="A69" s="98" t="str">
        <f>+E12</f>
        <v>(c)</v>
      </c>
      <c r="B69" s="20" t="s">
        <v>74</v>
      </c>
    </row>
    <row r="70" spans="1:14" x14ac:dyDescent="0.25">
      <c r="A70" s="98" t="str">
        <f>+F12</f>
        <v>(d)</v>
      </c>
      <c r="B70" s="14" t="s">
        <v>117</v>
      </c>
    </row>
    <row r="71" spans="1:14" x14ac:dyDescent="0.25">
      <c r="A71" s="98" t="str">
        <f>+G12</f>
        <v>(e)</v>
      </c>
      <c r="B71" s="14" t="s">
        <v>120</v>
      </c>
    </row>
    <row r="72" spans="1:14" x14ac:dyDescent="0.25">
      <c r="A72" s="98"/>
      <c r="B72" s="14" t="s">
        <v>176</v>
      </c>
    </row>
    <row r="73" spans="1:14" x14ac:dyDescent="0.25">
      <c r="B73" s="14" t="s">
        <v>177</v>
      </c>
    </row>
    <row r="74" spans="1:14" x14ac:dyDescent="0.25">
      <c r="A74" s="98" t="str">
        <f>+H12</f>
        <v>(f)</v>
      </c>
      <c r="B74" s="14" t="s">
        <v>118</v>
      </c>
    </row>
    <row r="75" spans="1:14" x14ac:dyDescent="0.25">
      <c r="A75" s="98" t="str">
        <f>+I12</f>
        <v>(g)</v>
      </c>
      <c r="B75" s="20" t="s">
        <v>116</v>
      </c>
    </row>
    <row r="76" spans="1:14" x14ac:dyDescent="0.25">
      <c r="A76" s="98" t="str">
        <f>+J12</f>
        <v>(h)</v>
      </c>
      <c r="B76" s="14" t="s">
        <v>121</v>
      </c>
    </row>
    <row r="77" spans="1:14" x14ac:dyDescent="0.25">
      <c r="A77" s="98"/>
      <c r="B77" s="14" t="s">
        <v>178</v>
      </c>
    </row>
    <row r="78" spans="1:14" x14ac:dyDescent="0.25">
      <c r="B78" s="14" t="s">
        <v>177</v>
      </c>
    </row>
    <row r="79" spans="1:14" x14ac:dyDescent="0.25">
      <c r="A79" s="98" t="str">
        <f>+K12</f>
        <v>(i)</v>
      </c>
      <c r="B79" s="14" t="s">
        <v>122</v>
      </c>
    </row>
    <row r="80" spans="1:14" x14ac:dyDescent="0.25">
      <c r="A80" s="98" t="s">
        <v>175</v>
      </c>
      <c r="B80" s="14" t="s">
        <v>183</v>
      </c>
    </row>
    <row r="81" spans="2:2" x14ac:dyDescent="0.25">
      <c r="B81" s="14" t="s">
        <v>182</v>
      </c>
    </row>
    <row r="82" spans="2:2" x14ac:dyDescent="0.25">
      <c r="B82" s="14" t="s">
        <v>181</v>
      </c>
    </row>
    <row r="83" spans="2:2" x14ac:dyDescent="0.25">
      <c r="B83" s="14" t="s">
        <v>180</v>
      </c>
    </row>
    <row r="84" spans="2:2" x14ac:dyDescent="0.25">
      <c r="B84" s="14" t="s">
        <v>179</v>
      </c>
    </row>
  </sheetData>
  <pageMargins left="0.5" right="0.5" top="0.5" bottom="0.5" header="0.3" footer="0.3"/>
  <pageSetup scale="58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CD9DF-CD4D-465E-BD84-8F352CEFDE8D}">
  <sheetPr>
    <pageSetUpPr fitToPage="1"/>
  </sheetPr>
  <dimension ref="A1:G46"/>
  <sheetViews>
    <sheetView view="pageBreakPreview" zoomScale="60" zoomScaleNormal="100" workbookViewId="0">
      <selection activeCell="N35" sqref="N35"/>
    </sheetView>
  </sheetViews>
  <sheetFormatPr defaultColWidth="9.140625" defaultRowHeight="15" x14ac:dyDescent="0.25"/>
  <cols>
    <col min="1" max="1" width="6.42578125" style="1" customWidth="1"/>
    <col min="2" max="2" width="62.85546875" style="2" customWidth="1"/>
    <col min="3" max="3" width="15.5703125" style="2" customWidth="1"/>
    <col min="4" max="4" width="0.85546875" style="2" customWidth="1"/>
    <col min="5" max="5" width="15.5703125" style="2" customWidth="1"/>
    <col min="6" max="6" width="0.85546875" style="2" customWidth="1"/>
    <col min="7" max="7" width="15.5703125" style="2" customWidth="1"/>
    <col min="8" max="16384" width="9.140625" style="2"/>
  </cols>
  <sheetData>
    <row r="1" spans="1:7" x14ac:dyDescent="0.25">
      <c r="E1" s="3"/>
      <c r="G1" s="3" t="str">
        <f>+p1_Summary!C1</f>
        <v>National Grid</v>
      </c>
    </row>
    <row r="2" spans="1:7" x14ac:dyDescent="0.25">
      <c r="E2" s="3"/>
      <c r="G2" s="3" t="str">
        <f>+p1_Summary!C2</f>
        <v>D.P.U. 20-58/D.P.U. 20-91</v>
      </c>
    </row>
    <row r="3" spans="1:7" x14ac:dyDescent="0.25">
      <c r="E3" s="4"/>
      <c r="G3" s="3" t="str">
        <f>+p1_Summary!C3</f>
        <v>Bad Debt Report</v>
      </c>
    </row>
    <row r="4" spans="1:7" x14ac:dyDescent="0.25">
      <c r="E4" s="5"/>
      <c r="G4" s="3" t="s">
        <v>94</v>
      </c>
    </row>
    <row r="6" spans="1:7" x14ac:dyDescent="0.25">
      <c r="B6" s="63" t="s">
        <v>18</v>
      </c>
      <c r="C6" s="63"/>
      <c r="D6" s="63"/>
      <c r="E6" s="63"/>
      <c r="F6" s="63"/>
      <c r="G6" s="63"/>
    </row>
    <row r="7" spans="1:7" x14ac:dyDescent="0.25">
      <c r="A7" s="2"/>
    </row>
    <row r="8" spans="1:7" x14ac:dyDescent="0.25">
      <c r="A8" s="6"/>
      <c r="B8" s="7"/>
      <c r="C8" s="8">
        <v>2017</v>
      </c>
      <c r="D8" s="9"/>
      <c r="E8" s="8">
        <v>2018</v>
      </c>
      <c r="F8" s="9"/>
      <c r="G8" s="10">
        <v>2019</v>
      </c>
    </row>
    <row r="9" spans="1:7" x14ac:dyDescent="0.25">
      <c r="A9" s="6"/>
      <c r="B9" s="7"/>
      <c r="C9" s="64" t="s">
        <v>23</v>
      </c>
      <c r="D9" s="9"/>
      <c r="E9" s="64" t="s">
        <v>24</v>
      </c>
      <c r="F9" s="9"/>
      <c r="G9" s="65" t="s">
        <v>30</v>
      </c>
    </row>
    <row r="10" spans="1:7" x14ac:dyDescent="0.25">
      <c r="A10" s="6"/>
      <c r="B10" s="7"/>
      <c r="C10" s="9"/>
      <c r="D10" s="9"/>
      <c r="E10" s="9"/>
      <c r="F10" s="9"/>
      <c r="G10" s="11"/>
    </row>
    <row r="11" spans="1:7" x14ac:dyDescent="0.25">
      <c r="A11" s="12">
        <v>-1</v>
      </c>
      <c r="B11" s="13" t="s">
        <v>43</v>
      </c>
      <c r="C11" s="34">
        <v>45217808.109999999</v>
      </c>
      <c r="D11" s="22"/>
      <c r="E11" s="34">
        <v>45306691.07</v>
      </c>
      <c r="F11" s="22"/>
      <c r="G11" s="45">
        <v>53413911.229999997</v>
      </c>
    </row>
    <row r="12" spans="1:7" x14ac:dyDescent="0.25">
      <c r="A12" s="12"/>
      <c r="B12" s="13"/>
      <c r="C12" s="22"/>
      <c r="D12" s="22"/>
      <c r="E12" s="34"/>
      <c r="F12" s="22"/>
      <c r="G12" s="23"/>
    </row>
    <row r="13" spans="1:7" x14ac:dyDescent="0.25">
      <c r="A13" s="12">
        <f>+A11-1</f>
        <v>-2</v>
      </c>
      <c r="B13" s="13" t="s">
        <v>44</v>
      </c>
      <c r="C13" s="34">
        <v>20880166.279999997</v>
      </c>
      <c r="D13" s="22"/>
      <c r="E13" s="34">
        <v>29716239.210000001</v>
      </c>
      <c r="F13" s="22"/>
      <c r="G13" s="45">
        <v>28085488.859999996</v>
      </c>
    </row>
    <row r="14" spans="1:7" x14ac:dyDescent="0.25">
      <c r="A14" s="6"/>
      <c r="B14" s="13"/>
      <c r="C14" s="34"/>
      <c r="D14" s="22"/>
      <c r="E14" s="34"/>
      <c r="F14" s="22"/>
      <c r="G14" s="23"/>
    </row>
    <row r="15" spans="1:7" x14ac:dyDescent="0.25">
      <c r="A15" s="12">
        <f>+A13-1</f>
        <v>-3</v>
      </c>
      <c r="B15" s="13" t="s">
        <v>45</v>
      </c>
      <c r="C15" s="35">
        <v>45306691.07</v>
      </c>
      <c r="D15" s="22"/>
      <c r="E15" s="35">
        <v>53413911.229999997</v>
      </c>
      <c r="F15" s="22"/>
      <c r="G15" s="46">
        <v>54528419.200000003</v>
      </c>
    </row>
    <row r="16" spans="1:7" x14ac:dyDescent="0.25">
      <c r="A16" s="6"/>
      <c r="B16" s="13"/>
      <c r="D16" s="22"/>
      <c r="E16" s="22"/>
      <c r="F16" s="22"/>
      <c r="G16" s="23"/>
    </row>
    <row r="17" spans="1:7" x14ac:dyDescent="0.25">
      <c r="A17" s="12">
        <f>+A15-1</f>
        <v>-4</v>
      </c>
      <c r="B17" s="6" t="s">
        <v>32</v>
      </c>
      <c r="C17" s="24">
        <f>+C11+C13-C15</f>
        <v>20791283.32</v>
      </c>
      <c r="D17" s="24"/>
      <c r="E17" s="24">
        <f>+E11+E13-E15</f>
        <v>21609019.050000004</v>
      </c>
      <c r="F17" s="24"/>
      <c r="G17" s="24">
        <f>+G11+G13-G15</f>
        <v>26970980.889999986</v>
      </c>
    </row>
    <row r="18" spans="1:7" x14ac:dyDescent="0.25">
      <c r="A18" s="12"/>
      <c r="B18" s="6"/>
      <c r="C18" s="26"/>
      <c r="D18" s="26"/>
      <c r="E18" s="26"/>
      <c r="F18" s="26"/>
      <c r="G18" s="26"/>
    </row>
    <row r="19" spans="1:7" x14ac:dyDescent="0.25">
      <c r="A19" s="12">
        <f>+A17-1</f>
        <v>-5</v>
      </c>
      <c r="B19" s="6" t="s">
        <v>33</v>
      </c>
      <c r="C19" s="42">
        <v>2327403.4499999941</v>
      </c>
      <c r="D19" s="42"/>
      <c r="E19" s="66">
        <v>2226672.8800000083</v>
      </c>
      <c r="F19" s="66"/>
      <c r="G19" s="66">
        <v>1547051.5599999996</v>
      </c>
    </row>
    <row r="20" spans="1:7" x14ac:dyDescent="0.25">
      <c r="A20" s="12"/>
      <c r="B20" s="6"/>
      <c r="C20" s="25"/>
      <c r="D20" s="25"/>
      <c r="E20" s="25"/>
      <c r="F20" s="25"/>
      <c r="G20" s="25"/>
    </row>
    <row r="21" spans="1:7" x14ac:dyDescent="0.25">
      <c r="A21" s="12">
        <f>+A19-1</f>
        <v>-6</v>
      </c>
      <c r="B21" s="6" t="s">
        <v>34</v>
      </c>
      <c r="C21" s="26">
        <f>+C17-C19</f>
        <v>18463879.870000005</v>
      </c>
      <c r="D21" s="26"/>
      <c r="E21" s="26">
        <f>+E17-E19</f>
        <v>19382346.169999994</v>
      </c>
      <c r="F21" s="26"/>
      <c r="G21" s="26">
        <f>+G17-G19</f>
        <v>25423929.329999987</v>
      </c>
    </row>
    <row r="22" spans="1:7" x14ac:dyDescent="0.25">
      <c r="A22" s="12"/>
      <c r="B22" s="6"/>
      <c r="C22" s="27"/>
      <c r="D22" s="28"/>
      <c r="E22" s="28"/>
      <c r="F22" s="27"/>
      <c r="G22" s="27"/>
    </row>
    <row r="23" spans="1:7" x14ac:dyDescent="0.25">
      <c r="A23" s="12">
        <f>+A21-1</f>
        <v>-7</v>
      </c>
      <c r="B23" s="6" t="s">
        <v>36</v>
      </c>
      <c r="C23" s="43">
        <v>5182300.1762191188</v>
      </c>
      <c r="D23" s="43"/>
      <c r="E23" s="43">
        <v>6332237.9903229987</v>
      </c>
      <c r="F23" s="43"/>
      <c r="G23" s="43">
        <v>8062796.7118053939</v>
      </c>
    </row>
    <row r="24" spans="1:7" x14ac:dyDescent="0.25">
      <c r="A24" s="12"/>
      <c r="B24" s="13"/>
      <c r="C24" s="31"/>
      <c r="D24" s="31"/>
      <c r="E24" s="31"/>
      <c r="F24" s="32"/>
      <c r="G24" s="31"/>
    </row>
    <row r="25" spans="1:7" x14ac:dyDescent="0.25">
      <c r="A25" s="12">
        <f>+A23-1</f>
        <v>-8</v>
      </c>
      <c r="B25" s="13" t="s">
        <v>37</v>
      </c>
      <c r="C25" s="31">
        <f>+C21-C23</f>
        <v>13281579.693780886</v>
      </c>
      <c r="D25" s="31"/>
      <c r="E25" s="31">
        <f>+E21-E23</f>
        <v>13050108.179676995</v>
      </c>
      <c r="F25" s="32"/>
      <c r="G25" s="31">
        <f>+G21-G23</f>
        <v>17361132.618194595</v>
      </c>
    </row>
    <row r="26" spans="1:7" x14ac:dyDescent="0.25">
      <c r="A26" s="12"/>
      <c r="B26" s="13"/>
      <c r="C26" s="36"/>
      <c r="D26" s="36"/>
      <c r="E26" s="36"/>
      <c r="F26" s="37"/>
      <c r="G26" s="36"/>
    </row>
    <row r="27" spans="1:7" x14ac:dyDescent="0.25">
      <c r="A27" s="12">
        <f>+A25-1</f>
        <v>-9</v>
      </c>
      <c r="B27" s="6" t="s">
        <v>38</v>
      </c>
      <c r="C27" s="38"/>
      <c r="D27" s="38"/>
      <c r="E27" s="36"/>
      <c r="F27" s="37"/>
      <c r="G27" s="36">
        <f>AVERAGE(C25:G25)</f>
        <v>14564273.497217491</v>
      </c>
    </row>
    <row r="28" spans="1:7" x14ac:dyDescent="0.25">
      <c r="A28" s="6"/>
      <c r="B28" s="14"/>
      <c r="C28" s="39"/>
      <c r="D28" s="40"/>
      <c r="E28" s="39"/>
      <c r="F28" s="41"/>
      <c r="G28" s="39"/>
    </row>
    <row r="29" spans="1:7" x14ac:dyDescent="0.25">
      <c r="A29" s="12">
        <f>+A27-1</f>
        <v>-10</v>
      </c>
      <c r="B29" s="13" t="s">
        <v>50</v>
      </c>
      <c r="C29" s="6"/>
      <c r="D29" s="6"/>
      <c r="E29" s="6"/>
      <c r="F29" s="11"/>
      <c r="G29" s="33">
        <f>+'p6_BOS Base Rate'!D34</f>
        <v>17013144</v>
      </c>
    </row>
    <row r="30" spans="1:7" x14ac:dyDescent="0.25">
      <c r="A30" s="47"/>
      <c r="B30" s="6"/>
      <c r="C30" s="18"/>
      <c r="D30" s="6"/>
      <c r="E30" s="18"/>
      <c r="F30" s="11"/>
      <c r="G30" s="18"/>
    </row>
    <row r="31" spans="1:7" x14ac:dyDescent="0.25">
      <c r="A31" s="12">
        <f>+A29-1</f>
        <v>-11</v>
      </c>
      <c r="B31" s="6" t="s">
        <v>70</v>
      </c>
      <c r="C31" s="18"/>
      <c r="D31" s="6"/>
      <c r="E31" s="18"/>
      <c r="F31" s="11"/>
      <c r="G31" s="33">
        <f>MAX(G27,+G29)</f>
        <v>17013144</v>
      </c>
    </row>
    <row r="32" spans="1:7" x14ac:dyDescent="0.25">
      <c r="A32" s="47"/>
      <c r="B32" s="6"/>
      <c r="C32" s="18"/>
      <c r="D32" s="6"/>
      <c r="E32" s="18"/>
      <c r="F32" s="11"/>
      <c r="G32" s="18"/>
    </row>
    <row r="33" spans="1:7" x14ac:dyDescent="0.25">
      <c r="A33" s="17"/>
      <c r="B33" s="6"/>
      <c r="C33" s="18"/>
      <c r="D33" s="6"/>
      <c r="E33" s="18"/>
      <c r="F33" s="11"/>
      <c r="G33" s="18"/>
    </row>
    <row r="34" spans="1:7" x14ac:dyDescent="0.25">
      <c r="A34" s="17"/>
      <c r="B34" s="6"/>
      <c r="C34" s="18"/>
      <c r="D34" s="6"/>
      <c r="E34" s="18"/>
      <c r="F34" s="11"/>
      <c r="G34" s="18"/>
    </row>
    <row r="35" spans="1:7" x14ac:dyDescent="0.25">
      <c r="A35" s="17"/>
      <c r="B35" s="6"/>
      <c r="C35" s="18"/>
      <c r="D35" s="6"/>
      <c r="E35" s="18"/>
      <c r="F35" s="11"/>
      <c r="G35" s="18"/>
    </row>
    <row r="36" spans="1:7" x14ac:dyDescent="0.25">
      <c r="A36" s="19" t="s">
        <v>39</v>
      </c>
      <c r="B36" s="20" t="s">
        <v>74</v>
      </c>
      <c r="C36" s="6"/>
      <c r="D36" s="6"/>
      <c r="E36" s="6"/>
      <c r="F36" s="11"/>
      <c r="G36" s="6"/>
    </row>
    <row r="37" spans="1:7" x14ac:dyDescent="0.25">
      <c r="A37" s="44">
        <f>+A13</f>
        <v>-2</v>
      </c>
      <c r="B37" s="20" t="s">
        <v>74</v>
      </c>
      <c r="C37" s="6"/>
      <c r="D37" s="6"/>
      <c r="E37" s="6"/>
      <c r="F37" s="11"/>
      <c r="G37" s="6"/>
    </row>
    <row r="38" spans="1:7" x14ac:dyDescent="0.25">
      <c r="A38" s="44">
        <f>+A15</f>
        <v>-3</v>
      </c>
      <c r="B38" s="20" t="s">
        <v>74</v>
      </c>
      <c r="C38" s="6"/>
      <c r="D38" s="6"/>
      <c r="E38" s="6"/>
      <c r="F38" s="11"/>
      <c r="G38" s="6"/>
    </row>
    <row r="39" spans="1:7" x14ac:dyDescent="0.25">
      <c r="A39" s="44">
        <f>+A17</f>
        <v>-4</v>
      </c>
      <c r="B39" s="20" t="s">
        <v>46</v>
      </c>
      <c r="C39" s="6"/>
      <c r="D39" s="6"/>
      <c r="E39" s="6"/>
      <c r="F39" s="11"/>
      <c r="G39" s="6"/>
    </row>
    <row r="40" spans="1:7" x14ac:dyDescent="0.25">
      <c r="A40" s="19" t="s">
        <v>41</v>
      </c>
      <c r="B40" s="20" t="s">
        <v>116</v>
      </c>
      <c r="C40" s="6"/>
      <c r="D40" s="6"/>
      <c r="E40" s="6"/>
      <c r="F40" s="6"/>
      <c r="G40" s="6"/>
    </row>
    <row r="41" spans="1:7" x14ac:dyDescent="0.25">
      <c r="A41" s="21">
        <f>+A21</f>
        <v>-6</v>
      </c>
      <c r="B41" s="20" t="s">
        <v>47</v>
      </c>
      <c r="C41" s="6"/>
      <c r="D41" s="6"/>
      <c r="E41" s="6"/>
      <c r="F41" s="6"/>
      <c r="G41" s="6"/>
    </row>
    <row r="42" spans="1:7" x14ac:dyDescent="0.25">
      <c r="A42" s="19" t="s">
        <v>42</v>
      </c>
      <c r="B42" s="20" t="s">
        <v>127</v>
      </c>
      <c r="C42" s="6"/>
      <c r="D42" s="6"/>
      <c r="E42" s="6"/>
      <c r="F42" s="6"/>
      <c r="G42" s="6"/>
    </row>
    <row r="43" spans="1:7" x14ac:dyDescent="0.25">
      <c r="A43" s="44">
        <f>+A25</f>
        <v>-8</v>
      </c>
      <c r="B43" s="20" t="s">
        <v>75</v>
      </c>
      <c r="C43" s="6"/>
      <c r="D43" s="6"/>
      <c r="E43" s="6"/>
      <c r="F43" s="6"/>
      <c r="G43" s="6"/>
    </row>
    <row r="44" spans="1:7" x14ac:dyDescent="0.25">
      <c r="A44" s="44">
        <f>+A27</f>
        <v>-9</v>
      </c>
      <c r="B44" s="20" t="s">
        <v>76</v>
      </c>
      <c r="C44" s="6"/>
      <c r="D44" s="6"/>
      <c r="E44" s="6"/>
      <c r="F44" s="6"/>
      <c r="G44" s="6"/>
    </row>
    <row r="45" spans="1:7" x14ac:dyDescent="0.25">
      <c r="A45" s="44">
        <f>+A29</f>
        <v>-10</v>
      </c>
      <c r="B45" s="20" t="s">
        <v>114</v>
      </c>
      <c r="C45" s="6"/>
      <c r="D45" s="6"/>
      <c r="E45" s="6"/>
      <c r="F45" s="6"/>
      <c r="G45" s="6"/>
    </row>
    <row r="46" spans="1:7" x14ac:dyDescent="0.25">
      <c r="A46" s="21">
        <f>+A31</f>
        <v>-11</v>
      </c>
      <c r="B46" s="2" t="s">
        <v>77</v>
      </c>
    </row>
  </sheetData>
  <pageMargins left="0.5" right="0.5" top="0.5" bottom="0.5" header="0.3" footer="0.3"/>
  <pageSetup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5394D-BE96-44DD-9677-C6C1A3946D04}">
  <sheetPr>
    <pageSetUpPr fitToPage="1"/>
  </sheetPr>
  <dimension ref="A1:D71"/>
  <sheetViews>
    <sheetView view="pageBreakPreview" topLeftCell="A4" zoomScale="60" zoomScaleNormal="100" workbookViewId="0">
      <selection activeCell="N35" sqref="N35"/>
    </sheetView>
  </sheetViews>
  <sheetFormatPr defaultColWidth="9.140625" defaultRowHeight="15" x14ac:dyDescent="0.25"/>
  <cols>
    <col min="1" max="1" width="6.42578125" style="1" customWidth="1"/>
    <col min="2" max="2" width="62.85546875" style="2" customWidth="1"/>
    <col min="3" max="4" width="15.5703125" style="2" customWidth="1"/>
    <col min="5" max="16384" width="9.140625" style="2"/>
  </cols>
  <sheetData>
    <row r="1" spans="1:4" x14ac:dyDescent="0.25">
      <c r="D1" s="3" t="str">
        <f>+p1_Summary!C1</f>
        <v>National Grid</v>
      </c>
    </row>
    <row r="2" spans="1:4" x14ac:dyDescent="0.25">
      <c r="D2" s="3" t="str">
        <f>+p1_Summary!C2</f>
        <v>D.P.U. 20-58/D.P.U. 20-91</v>
      </c>
    </row>
    <row r="3" spans="1:4" x14ac:dyDescent="0.25">
      <c r="D3" s="3" t="str">
        <f>+p1_Summary!C3</f>
        <v>Bad Debt Report</v>
      </c>
    </row>
    <row r="4" spans="1:4" x14ac:dyDescent="0.25">
      <c r="D4" s="3" t="s">
        <v>93</v>
      </c>
    </row>
    <row r="6" spans="1:4" x14ac:dyDescent="0.25">
      <c r="B6" s="63" t="s">
        <v>18</v>
      </c>
      <c r="C6" s="63"/>
      <c r="D6" s="63"/>
    </row>
    <row r="7" spans="1:4" x14ac:dyDescent="0.25">
      <c r="A7" s="2"/>
    </row>
    <row r="8" spans="1:4" x14ac:dyDescent="0.25">
      <c r="B8" s="54" t="s">
        <v>55</v>
      </c>
      <c r="C8" s="54"/>
      <c r="D8" s="54"/>
    </row>
    <row r="9" spans="1:4" x14ac:dyDescent="0.25">
      <c r="B9" s="52"/>
      <c r="C9" s="75" t="s">
        <v>23</v>
      </c>
      <c r="D9" s="75" t="s">
        <v>24</v>
      </c>
    </row>
    <row r="10" spans="1:4" x14ac:dyDescent="0.25">
      <c r="A10" s="6"/>
      <c r="B10" s="7"/>
      <c r="C10" s="76"/>
      <c r="D10" s="77"/>
    </row>
    <row r="11" spans="1:4" x14ac:dyDescent="0.25">
      <c r="A11" s="6"/>
      <c r="B11" s="7"/>
      <c r="C11" s="76"/>
      <c r="D11" s="74" t="s">
        <v>91</v>
      </c>
    </row>
    <row r="12" spans="1:4" x14ac:dyDescent="0.25">
      <c r="A12" s="6"/>
      <c r="B12" s="13" t="s">
        <v>104</v>
      </c>
      <c r="C12" s="6"/>
      <c r="D12" s="77"/>
    </row>
    <row r="13" spans="1:4" x14ac:dyDescent="0.25">
      <c r="A13" s="12">
        <f>+A12-1</f>
        <v>-1</v>
      </c>
      <c r="B13" s="67" t="s">
        <v>102</v>
      </c>
      <c r="C13" s="68">
        <v>11564003</v>
      </c>
      <c r="D13" s="77"/>
    </row>
    <row r="14" spans="1:4" x14ac:dyDescent="0.25">
      <c r="A14" s="12">
        <f t="shared" ref="A14:A15" si="0">+A13-1</f>
        <v>-2</v>
      </c>
      <c r="B14" s="67" t="s">
        <v>53</v>
      </c>
      <c r="C14" s="69">
        <v>1700865</v>
      </c>
      <c r="D14" s="77"/>
    </row>
    <row r="15" spans="1:4" x14ac:dyDescent="0.25">
      <c r="A15" s="12">
        <f t="shared" si="0"/>
        <v>-3</v>
      </c>
      <c r="B15" s="67" t="s">
        <v>103</v>
      </c>
      <c r="C15" s="68">
        <f>SUM(C13:C14)</f>
        <v>13264868</v>
      </c>
      <c r="D15" s="77"/>
    </row>
    <row r="16" spans="1:4" x14ac:dyDescent="0.25">
      <c r="A16" s="6"/>
      <c r="B16" s="67"/>
      <c r="C16" s="68"/>
      <c r="D16" s="77"/>
    </row>
    <row r="17" spans="1:4" x14ac:dyDescent="0.25">
      <c r="A17" s="6"/>
      <c r="B17" s="13" t="s">
        <v>107</v>
      </c>
      <c r="C17" s="6"/>
      <c r="D17" s="77"/>
    </row>
    <row r="18" spans="1:4" x14ac:dyDescent="0.25">
      <c r="A18" s="12">
        <f>+A15-1</f>
        <v>-4</v>
      </c>
      <c r="B18" s="67" t="s">
        <v>102</v>
      </c>
      <c r="C18" s="68">
        <v>1881533</v>
      </c>
      <c r="D18" s="77"/>
    </row>
    <row r="19" spans="1:4" x14ac:dyDescent="0.25">
      <c r="A19" s="12">
        <f t="shared" ref="A19:A20" si="1">+A18-1</f>
        <v>-5</v>
      </c>
      <c r="B19" s="67" t="s">
        <v>53</v>
      </c>
      <c r="C19" s="69">
        <v>223851</v>
      </c>
      <c r="D19" s="77"/>
    </row>
    <row r="20" spans="1:4" x14ac:dyDescent="0.25">
      <c r="A20" s="12">
        <f t="shared" si="1"/>
        <v>-6</v>
      </c>
      <c r="B20" s="67" t="s">
        <v>103</v>
      </c>
      <c r="C20" s="68">
        <f>SUM(C18:C19)</f>
        <v>2105384</v>
      </c>
      <c r="D20" s="77"/>
    </row>
    <row r="21" spans="1:4" x14ac:dyDescent="0.25">
      <c r="A21" s="6"/>
      <c r="B21" s="67"/>
      <c r="C21" s="68"/>
      <c r="D21" s="77"/>
    </row>
    <row r="22" spans="1:4" x14ac:dyDescent="0.25">
      <c r="A22" s="12">
        <f>+A20-1</f>
        <v>-7</v>
      </c>
      <c r="B22" s="78" t="s">
        <v>103</v>
      </c>
      <c r="C22" s="68">
        <f>+C15+C20</f>
        <v>15370252</v>
      </c>
      <c r="D22" s="73">
        <f>ROUND(C22/12*3,0)</f>
        <v>3842563</v>
      </c>
    </row>
    <row r="23" spans="1:4" x14ac:dyDescent="0.25">
      <c r="A23" s="12"/>
      <c r="B23" s="78"/>
      <c r="C23" s="68"/>
      <c r="D23" s="73"/>
    </row>
    <row r="24" spans="1:4" x14ac:dyDescent="0.25">
      <c r="A24" s="6"/>
      <c r="B24" s="7"/>
      <c r="C24" s="76"/>
      <c r="D24" s="77"/>
    </row>
    <row r="25" spans="1:4" x14ac:dyDescent="0.25">
      <c r="B25" s="54" t="s">
        <v>59</v>
      </c>
      <c r="C25" s="54"/>
      <c r="D25" s="54"/>
    </row>
    <row r="26" spans="1:4" x14ac:dyDescent="0.25">
      <c r="B26" s="52"/>
      <c r="C26" s="52"/>
      <c r="D26" s="52"/>
    </row>
    <row r="27" spans="1:4" x14ac:dyDescent="0.25">
      <c r="B27" s="52"/>
      <c r="C27" s="52"/>
      <c r="D27" s="74" t="s">
        <v>88</v>
      </c>
    </row>
    <row r="28" spans="1:4" x14ac:dyDescent="0.25">
      <c r="A28" s="6"/>
      <c r="B28" s="14"/>
      <c r="C28" s="39"/>
      <c r="D28" s="39"/>
    </row>
    <row r="29" spans="1:4" x14ac:dyDescent="0.25">
      <c r="A29" s="12"/>
      <c r="B29" s="13" t="s">
        <v>113</v>
      </c>
      <c r="C29" s="6"/>
      <c r="D29" s="33"/>
    </row>
    <row r="30" spans="1:4" x14ac:dyDescent="0.25">
      <c r="A30" s="12">
        <f>+A22-1</f>
        <v>-8</v>
      </c>
      <c r="B30" s="67" t="s">
        <v>78</v>
      </c>
      <c r="C30" s="68">
        <v>15317925</v>
      </c>
    </row>
    <row r="31" spans="1:4" x14ac:dyDescent="0.25">
      <c r="A31" s="12">
        <f t="shared" ref="A31:A32" si="2">+A30-1</f>
        <v>-9</v>
      </c>
      <c r="B31" s="67" t="s">
        <v>53</v>
      </c>
      <c r="C31" s="69">
        <v>2242850</v>
      </c>
    </row>
    <row r="32" spans="1:4" x14ac:dyDescent="0.25">
      <c r="A32" s="12">
        <f t="shared" si="2"/>
        <v>-10</v>
      </c>
      <c r="B32" s="67" t="s">
        <v>62</v>
      </c>
      <c r="C32" s="68">
        <f>SUM(C30:C31)</f>
        <v>17560775</v>
      </c>
      <c r="D32" s="73">
        <f>ROUND(C32/12*9,0)</f>
        <v>13170581</v>
      </c>
    </row>
    <row r="33" spans="1:4" x14ac:dyDescent="0.25">
      <c r="A33" s="47"/>
      <c r="B33" s="6"/>
      <c r="C33" s="18"/>
    </row>
    <row r="34" spans="1:4" x14ac:dyDescent="0.25">
      <c r="A34" s="48">
        <f>+A32-1</f>
        <v>-11</v>
      </c>
      <c r="B34" s="2" t="s">
        <v>101</v>
      </c>
      <c r="C34" s="33"/>
      <c r="D34" s="73">
        <f>+D22+D32</f>
        <v>17013144</v>
      </c>
    </row>
    <row r="35" spans="1:4" x14ac:dyDescent="0.25">
      <c r="A35" s="47"/>
      <c r="B35" s="6"/>
      <c r="C35" s="18"/>
      <c r="D35" s="18"/>
    </row>
    <row r="36" spans="1:4" x14ac:dyDescent="0.25">
      <c r="A36" s="17"/>
      <c r="B36" s="6"/>
      <c r="C36" s="18"/>
      <c r="D36" s="18"/>
    </row>
    <row r="37" spans="1:4" x14ac:dyDescent="0.25">
      <c r="A37" s="2"/>
      <c r="B37" s="54" t="s">
        <v>141</v>
      </c>
      <c r="C37" s="54"/>
      <c r="D37" s="18"/>
    </row>
    <row r="38" spans="1:4" x14ac:dyDescent="0.25">
      <c r="A38" s="2"/>
      <c r="D38" s="18"/>
    </row>
    <row r="39" spans="1:4" x14ac:dyDescent="0.25">
      <c r="A39" s="12">
        <f>A34-1</f>
        <v>-12</v>
      </c>
      <c r="B39" s="49" t="s">
        <v>62</v>
      </c>
      <c r="C39" s="84">
        <f>C32</f>
        <v>17560775</v>
      </c>
      <c r="D39" s="18"/>
    </row>
    <row r="40" spans="1:4" x14ac:dyDescent="0.25">
      <c r="A40" s="12">
        <f>+A39-1</f>
        <v>-13</v>
      </c>
      <c r="B40" s="50" t="s">
        <v>149</v>
      </c>
      <c r="C40" s="88">
        <v>7.778377584854429E-2</v>
      </c>
      <c r="D40" s="18"/>
    </row>
    <row r="41" spans="1:4" x14ac:dyDescent="0.25">
      <c r="A41" s="12">
        <f>+A40-1</f>
        <v>-14</v>
      </c>
      <c r="B41" s="49" t="s">
        <v>142</v>
      </c>
      <c r="C41" s="89">
        <f>C39*C40</f>
        <v>1365943.3863267202</v>
      </c>
      <c r="D41" s="18"/>
    </row>
    <row r="42" spans="1:4" x14ac:dyDescent="0.25">
      <c r="A42" s="12"/>
      <c r="B42" s="49"/>
      <c r="D42" s="18"/>
    </row>
    <row r="43" spans="1:4" x14ac:dyDescent="0.25">
      <c r="A43" s="12">
        <f>+A41-1</f>
        <v>-15</v>
      </c>
      <c r="B43" s="49" t="s">
        <v>143</v>
      </c>
      <c r="C43" s="73">
        <f>C39+C41</f>
        <v>18926718.386326719</v>
      </c>
      <c r="D43" s="18"/>
    </row>
    <row r="44" spans="1:4" x14ac:dyDescent="0.25">
      <c r="A44" s="2"/>
      <c r="D44" s="18"/>
    </row>
    <row r="45" spans="1:4" x14ac:dyDescent="0.25">
      <c r="A45" s="2"/>
      <c r="B45" s="54" t="s">
        <v>145</v>
      </c>
      <c r="C45" s="54"/>
      <c r="D45" s="18"/>
    </row>
    <row r="46" spans="1:4" x14ac:dyDescent="0.25">
      <c r="A46" s="12">
        <f>+A43-1</f>
        <v>-16</v>
      </c>
      <c r="B46" s="49" t="s">
        <v>146</v>
      </c>
      <c r="C46" s="73">
        <f>C43</f>
        <v>18926718.386326719</v>
      </c>
      <c r="D46" s="18"/>
    </row>
    <row r="47" spans="1:4" x14ac:dyDescent="0.25">
      <c r="A47" s="12">
        <f>+A46-1</f>
        <v>-17</v>
      </c>
      <c r="B47" s="50" t="s">
        <v>150</v>
      </c>
      <c r="C47" s="88">
        <v>6.4760000355080546E-2</v>
      </c>
      <c r="D47" s="18"/>
    </row>
    <row r="48" spans="1:4" x14ac:dyDescent="0.25">
      <c r="A48" s="12">
        <f t="shared" ref="A48" si="3">+A47-1</f>
        <v>-18</v>
      </c>
      <c r="B48" s="49" t="s">
        <v>148</v>
      </c>
      <c r="C48" s="89">
        <f>C46*C47</f>
        <v>1225694.2894190277</v>
      </c>
      <c r="D48" s="18"/>
    </row>
    <row r="49" spans="1:4" x14ac:dyDescent="0.25">
      <c r="A49" s="12"/>
      <c r="B49" s="49"/>
      <c r="D49" s="18"/>
    </row>
    <row r="50" spans="1:4" x14ac:dyDescent="0.25">
      <c r="A50" s="12">
        <f>+A48-1</f>
        <v>-19</v>
      </c>
      <c r="B50" s="49" t="s">
        <v>147</v>
      </c>
      <c r="C50" s="73">
        <f>C46+C48</f>
        <v>20152412.675745748</v>
      </c>
      <c r="D50" s="6"/>
    </row>
    <row r="51" spans="1:4" x14ac:dyDescent="0.25">
      <c r="A51" s="44"/>
      <c r="B51" s="20"/>
      <c r="C51" s="6"/>
      <c r="D51" s="6"/>
    </row>
    <row r="52" spans="1:4" x14ac:dyDescent="0.25">
      <c r="A52" s="44"/>
      <c r="B52" s="20"/>
      <c r="C52" s="6"/>
      <c r="D52" s="6"/>
    </row>
    <row r="53" spans="1:4" x14ac:dyDescent="0.25">
      <c r="A53" s="44">
        <f>+A13</f>
        <v>-1</v>
      </c>
      <c r="B53" s="20" t="s">
        <v>106</v>
      </c>
      <c r="C53" s="6"/>
      <c r="D53" s="6"/>
    </row>
    <row r="54" spans="1:4" x14ac:dyDescent="0.25">
      <c r="A54" s="21">
        <f>+A14</f>
        <v>-2</v>
      </c>
      <c r="B54" s="20" t="s">
        <v>105</v>
      </c>
      <c r="C54" s="6"/>
      <c r="D54" s="6"/>
    </row>
    <row r="55" spans="1:4" x14ac:dyDescent="0.25">
      <c r="A55" s="44">
        <f>+A15</f>
        <v>-3</v>
      </c>
      <c r="B55" s="20" t="s">
        <v>69</v>
      </c>
      <c r="C55" s="6"/>
      <c r="D55" s="6"/>
    </row>
    <row r="56" spans="1:4" x14ac:dyDescent="0.25">
      <c r="A56" s="44">
        <f>+A18</f>
        <v>-4</v>
      </c>
      <c r="B56" s="20" t="s">
        <v>110</v>
      </c>
      <c r="C56" s="6"/>
      <c r="D56" s="6"/>
    </row>
    <row r="57" spans="1:4" x14ac:dyDescent="0.25">
      <c r="A57" s="44">
        <f>+A19</f>
        <v>-5</v>
      </c>
      <c r="B57" s="20" t="s">
        <v>109</v>
      </c>
      <c r="C57" s="6"/>
      <c r="D57" s="6"/>
    </row>
    <row r="58" spans="1:4" x14ac:dyDescent="0.25">
      <c r="A58" s="44">
        <f>+A20</f>
        <v>-6</v>
      </c>
      <c r="B58" s="20" t="s">
        <v>108</v>
      </c>
      <c r="C58" s="6"/>
      <c r="D58" s="6"/>
    </row>
    <row r="59" spans="1:4" x14ac:dyDescent="0.25">
      <c r="A59" s="44">
        <f>+A22</f>
        <v>-7</v>
      </c>
      <c r="B59" s="20" t="s">
        <v>111</v>
      </c>
      <c r="C59" s="6"/>
      <c r="D59" s="6"/>
    </row>
    <row r="60" spans="1:4" x14ac:dyDescent="0.25">
      <c r="A60" s="44">
        <f>+A30</f>
        <v>-8</v>
      </c>
      <c r="B60" s="14" t="s">
        <v>79</v>
      </c>
      <c r="C60" s="6"/>
      <c r="D60" s="6"/>
    </row>
    <row r="61" spans="1:4" x14ac:dyDescent="0.25">
      <c r="A61" s="44">
        <f>+A31</f>
        <v>-9</v>
      </c>
      <c r="B61" s="14" t="s">
        <v>80</v>
      </c>
      <c r="C61" s="6"/>
      <c r="D61" s="6"/>
    </row>
    <row r="62" spans="1:4" x14ac:dyDescent="0.25">
      <c r="A62" s="44">
        <f>+A32</f>
        <v>-10</v>
      </c>
      <c r="B62" s="20" t="s">
        <v>112</v>
      </c>
      <c r="C62" s="6"/>
      <c r="D62" s="6"/>
    </row>
    <row r="63" spans="1:4" x14ac:dyDescent="0.25">
      <c r="A63" s="21">
        <f>+A34</f>
        <v>-11</v>
      </c>
      <c r="B63" s="2" t="s">
        <v>115</v>
      </c>
    </row>
    <row r="64" spans="1:4" x14ac:dyDescent="0.25">
      <c r="A64" s="97">
        <f>+A39</f>
        <v>-12</v>
      </c>
      <c r="B64" s="85" t="s">
        <v>163</v>
      </c>
    </row>
    <row r="65" spans="1:2" x14ac:dyDescent="0.25">
      <c r="A65" s="97">
        <f t="shared" ref="A65:A66" si="4">+A40</f>
        <v>-13</v>
      </c>
      <c r="B65" s="85" t="s">
        <v>164</v>
      </c>
    </row>
    <row r="66" spans="1:2" x14ac:dyDescent="0.25">
      <c r="A66" s="97">
        <f t="shared" si="4"/>
        <v>-14</v>
      </c>
      <c r="B66" s="85" t="s">
        <v>165</v>
      </c>
    </row>
    <row r="67" spans="1:2" x14ac:dyDescent="0.25">
      <c r="A67" s="97">
        <f>A43</f>
        <v>-15</v>
      </c>
      <c r="B67" s="85" t="s">
        <v>166</v>
      </c>
    </row>
    <row r="68" spans="1:2" x14ac:dyDescent="0.25">
      <c r="A68" s="97">
        <f>A46</f>
        <v>-16</v>
      </c>
      <c r="B68" s="85" t="s">
        <v>167</v>
      </c>
    </row>
    <row r="69" spans="1:2" x14ac:dyDescent="0.25">
      <c r="A69" s="97">
        <f t="shared" ref="A69:A70" si="5">A47</f>
        <v>-17</v>
      </c>
      <c r="B69" s="85" t="s">
        <v>168</v>
      </c>
    </row>
    <row r="70" spans="1:2" x14ac:dyDescent="0.25">
      <c r="A70" s="97">
        <f t="shared" si="5"/>
        <v>-18</v>
      </c>
      <c r="B70" s="85" t="s">
        <v>169</v>
      </c>
    </row>
    <row r="71" spans="1:2" x14ac:dyDescent="0.25">
      <c r="A71" s="97">
        <f>A50</f>
        <v>-19</v>
      </c>
      <c r="B71" s="85" t="s">
        <v>170</v>
      </c>
    </row>
  </sheetData>
  <pageMargins left="0.5" right="0.5" top="0.5" bottom="0.5" header="0.3" footer="0.3"/>
  <pageSetup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A81D2-578C-4B2F-9549-8E7C64923A14}">
  <sheetPr>
    <pageSetUpPr fitToPage="1"/>
  </sheetPr>
  <dimension ref="A1:L77"/>
  <sheetViews>
    <sheetView view="pageBreakPreview" zoomScale="60" zoomScaleNormal="90" workbookViewId="0">
      <pane xSplit="2" ySplit="11" topLeftCell="C42" activePane="bottomRight" state="frozen"/>
      <selection activeCell="N35" sqref="N35"/>
      <selection pane="topRight" activeCell="N35" sqref="N35"/>
      <selection pane="bottomLeft" activeCell="N35" sqref="N35"/>
      <selection pane="bottomRight" activeCell="S29" sqref="S29"/>
    </sheetView>
  </sheetViews>
  <sheetFormatPr defaultColWidth="9.140625" defaultRowHeight="15" x14ac:dyDescent="0.25"/>
  <cols>
    <col min="1" max="1" width="9.140625" style="14"/>
    <col min="2" max="2" width="17.42578125" style="14" customWidth="1"/>
    <col min="3" max="4" width="14" style="14" bestFit="1" customWidth="1"/>
    <col min="5" max="10" width="13.5703125" style="14" customWidth="1"/>
    <col min="11" max="11" width="13.42578125" style="14" bestFit="1" customWidth="1"/>
    <col min="12" max="16384" width="9.140625" style="14"/>
  </cols>
  <sheetData>
    <row r="1" spans="1:12" x14ac:dyDescent="0.25">
      <c r="K1" s="72" t="str">
        <f>+p1_Summary!C1</f>
        <v>National Grid</v>
      </c>
    </row>
    <row r="2" spans="1:12" x14ac:dyDescent="0.25">
      <c r="K2" s="72" t="str">
        <f>+p1_Summary!C2</f>
        <v>D.P.U. 20-58/D.P.U. 20-91</v>
      </c>
    </row>
    <row r="3" spans="1:12" x14ac:dyDescent="0.25">
      <c r="K3" s="72" t="str">
        <f>+p1_Summary!C3</f>
        <v>Bad Debt Report</v>
      </c>
    </row>
    <row r="4" spans="1:12" x14ac:dyDescent="0.25">
      <c r="K4" s="72" t="s">
        <v>92</v>
      </c>
    </row>
    <row r="6" spans="1:12" x14ac:dyDescent="0.25">
      <c r="B6" s="56" t="s">
        <v>18</v>
      </c>
      <c r="C6" s="56"/>
      <c r="D6" s="56"/>
      <c r="E6" s="56"/>
      <c r="F6" s="56"/>
      <c r="G6" s="56"/>
      <c r="H6" s="56"/>
      <c r="I6" s="56"/>
      <c r="J6" s="56"/>
    </row>
    <row r="8" spans="1:12" x14ac:dyDescent="0.25">
      <c r="C8" s="57" t="s">
        <v>3</v>
      </c>
      <c r="D8" s="57"/>
      <c r="E8" s="16" t="s">
        <v>4</v>
      </c>
      <c r="F8" s="16" t="s">
        <v>8</v>
      </c>
      <c r="G8" s="16" t="s">
        <v>12</v>
      </c>
      <c r="H8" s="16" t="s">
        <v>13</v>
      </c>
      <c r="I8" s="16" t="s">
        <v>12</v>
      </c>
      <c r="J8" s="16" t="s">
        <v>17</v>
      </c>
      <c r="K8" s="94" t="s">
        <v>158</v>
      </c>
      <c r="L8" s="94"/>
    </row>
    <row r="9" spans="1:12" x14ac:dyDescent="0.25">
      <c r="C9" s="16" t="s">
        <v>0</v>
      </c>
      <c r="D9" s="16" t="s">
        <v>2</v>
      </c>
      <c r="E9" s="16" t="s">
        <v>5</v>
      </c>
      <c r="F9" s="16" t="s">
        <v>9</v>
      </c>
      <c r="G9" s="16" t="s">
        <v>11</v>
      </c>
      <c r="H9" s="16" t="s">
        <v>8</v>
      </c>
      <c r="I9" s="16" t="s">
        <v>83</v>
      </c>
      <c r="J9" s="16" t="s">
        <v>8</v>
      </c>
      <c r="K9" s="14" t="s">
        <v>14</v>
      </c>
    </row>
    <row r="10" spans="1:12" x14ac:dyDescent="0.25">
      <c r="C10" s="58" t="s">
        <v>1</v>
      </c>
      <c r="D10" s="58" t="s">
        <v>1</v>
      </c>
      <c r="E10" s="58" t="s">
        <v>6</v>
      </c>
      <c r="F10" s="58" t="s">
        <v>7</v>
      </c>
      <c r="G10" s="58" t="s">
        <v>10</v>
      </c>
      <c r="H10" s="58" t="s">
        <v>14</v>
      </c>
      <c r="I10" s="58" t="s">
        <v>10</v>
      </c>
      <c r="J10" s="58" t="s">
        <v>14</v>
      </c>
      <c r="K10" s="96" t="s">
        <v>140</v>
      </c>
    </row>
    <row r="11" spans="1:12" x14ac:dyDescent="0.25">
      <c r="C11" s="59" t="s">
        <v>23</v>
      </c>
      <c r="D11" s="59" t="s">
        <v>24</v>
      </c>
      <c r="E11" s="59" t="s">
        <v>30</v>
      </c>
      <c r="F11" s="59" t="s">
        <v>25</v>
      </c>
      <c r="G11" s="59" t="s">
        <v>31</v>
      </c>
      <c r="H11" s="59" t="s">
        <v>26</v>
      </c>
      <c r="I11" s="59" t="s">
        <v>27</v>
      </c>
      <c r="J11" s="59" t="s">
        <v>28</v>
      </c>
      <c r="K11" s="95" t="s">
        <v>29</v>
      </c>
    </row>
    <row r="13" spans="1:12" x14ac:dyDescent="0.25">
      <c r="A13" s="60">
        <v>-1</v>
      </c>
      <c r="B13" s="61">
        <v>44013</v>
      </c>
      <c r="C13" s="15">
        <v>89593938.420000002</v>
      </c>
      <c r="D13" s="15">
        <v>91442454.709999993</v>
      </c>
      <c r="E13" s="15">
        <v>2858531.9000000004</v>
      </c>
      <c r="F13" s="15">
        <f t="shared" ref="F13:F18" si="0">+C13+E13-D13</f>
        <v>1010015.6100000143</v>
      </c>
      <c r="G13" s="15">
        <f>16345.86+72892.46</f>
        <v>89238.32</v>
      </c>
      <c r="H13" s="15">
        <f>+F13-G13</f>
        <v>920777.29000001424</v>
      </c>
      <c r="I13" s="70">
        <v>319970.85999999993</v>
      </c>
      <c r="J13" s="15">
        <f>+H13-I13</f>
        <v>600806.43000001437</v>
      </c>
      <c r="K13" s="15">
        <f>'p6_BOS Base Rate'!$C$22/12</f>
        <v>1280854.3333333333</v>
      </c>
    </row>
    <row r="14" spans="1:12" x14ac:dyDescent="0.25">
      <c r="A14" s="60">
        <f>+A13-1</f>
        <v>-2</v>
      </c>
      <c r="B14" s="61">
        <f>+B13+31</f>
        <v>44044</v>
      </c>
      <c r="C14" s="15">
        <f>D13</f>
        <v>91442454.709999993</v>
      </c>
      <c r="D14" s="15">
        <v>91371773.859999999</v>
      </c>
      <c r="E14" s="15">
        <v>1124898.6299999999</v>
      </c>
      <c r="F14" s="15">
        <f t="shared" si="0"/>
        <v>1195579.4799999893</v>
      </c>
      <c r="G14" s="15">
        <f>154928.86+43250.53</f>
        <v>198179.38999999998</v>
      </c>
      <c r="H14" s="15">
        <f t="shared" ref="H14:H60" si="1">+F14-G14</f>
        <v>997400.08999998926</v>
      </c>
      <c r="I14" s="70">
        <v>382652.76</v>
      </c>
      <c r="J14" s="15">
        <f t="shared" ref="J14:J60" si="2">+H14-I14</f>
        <v>614747.32999998925</v>
      </c>
      <c r="K14" s="15">
        <f>'p6_BOS Base Rate'!$C$22/12</f>
        <v>1280854.3333333333</v>
      </c>
    </row>
    <row r="15" spans="1:12" x14ac:dyDescent="0.25">
      <c r="A15" s="60">
        <f t="shared" ref="A15:A36" si="3">+A14-1</f>
        <v>-3</v>
      </c>
      <c r="B15" s="61">
        <f t="shared" ref="B15:B36" si="4">+B14+31</f>
        <v>44075</v>
      </c>
      <c r="C15" s="15">
        <f t="shared" ref="C15:C60" si="5">D14</f>
        <v>91371773.859999999</v>
      </c>
      <c r="D15" s="15">
        <v>88447931.739999995</v>
      </c>
      <c r="E15" s="15">
        <v>-1648884.1199999999</v>
      </c>
      <c r="F15" s="15">
        <f t="shared" si="0"/>
        <v>1274958</v>
      </c>
      <c r="G15" s="15">
        <v>44485.5</v>
      </c>
      <c r="H15" s="15">
        <f t="shared" si="1"/>
        <v>1230472.5</v>
      </c>
      <c r="I15" s="70">
        <v>432052.63</v>
      </c>
      <c r="J15" s="15">
        <f t="shared" si="2"/>
        <v>798419.87</v>
      </c>
      <c r="K15" s="15">
        <f>'p6_BOS Base Rate'!$C$22/12</f>
        <v>1280854.3333333333</v>
      </c>
    </row>
    <row r="16" spans="1:12" x14ac:dyDescent="0.25">
      <c r="A16" s="60">
        <f t="shared" si="3"/>
        <v>-4</v>
      </c>
      <c r="B16" s="61">
        <f>+B15+30</f>
        <v>44105</v>
      </c>
      <c r="C16" s="15">
        <f t="shared" si="5"/>
        <v>88447931.739999995</v>
      </c>
      <c r="D16" s="15">
        <v>88008829.430000007</v>
      </c>
      <c r="E16" s="15">
        <v>720340.2300000001</v>
      </c>
      <c r="F16" s="15">
        <f t="shared" si="0"/>
        <v>1159442.5399999917</v>
      </c>
      <c r="G16" s="15">
        <f>190146.26+80635.16</f>
        <v>270781.42000000004</v>
      </c>
      <c r="H16" s="15">
        <f t="shared" si="1"/>
        <v>888661.11999999161</v>
      </c>
      <c r="I16" s="70">
        <v>311818.76</v>
      </c>
      <c r="J16" s="15">
        <f t="shared" si="2"/>
        <v>576842.3599999916</v>
      </c>
      <c r="K16" s="15">
        <f>'p6_BOS Base Rate'!$C$22/12</f>
        <v>1280854.3333333333</v>
      </c>
    </row>
    <row r="17" spans="1:11" x14ac:dyDescent="0.25">
      <c r="A17" s="60">
        <f t="shared" si="3"/>
        <v>-5</v>
      </c>
      <c r="B17" s="61">
        <f t="shared" si="4"/>
        <v>44136</v>
      </c>
      <c r="C17" s="15">
        <f t="shared" si="5"/>
        <v>88008829.430000007</v>
      </c>
      <c r="D17" s="15">
        <v>90119435.019999996</v>
      </c>
      <c r="E17" s="15">
        <v>2822232.92</v>
      </c>
      <c r="F17" s="15">
        <f t="shared" si="0"/>
        <v>711627.33000001311</v>
      </c>
      <c r="G17" s="15">
        <v>67465.259999999995</v>
      </c>
      <c r="H17" s="15">
        <f t="shared" si="1"/>
        <v>644162.0700000131</v>
      </c>
      <c r="I17" s="70">
        <v>190745.37000000002</v>
      </c>
      <c r="J17" s="15">
        <f t="shared" si="2"/>
        <v>453416.70000001311</v>
      </c>
      <c r="K17" s="15">
        <f>'p6_BOS Base Rate'!$C$22/12</f>
        <v>1280854.3333333333</v>
      </c>
    </row>
    <row r="18" spans="1:11" x14ac:dyDescent="0.25">
      <c r="A18" s="60">
        <f t="shared" si="3"/>
        <v>-6</v>
      </c>
      <c r="B18" s="61">
        <f>+B17+30</f>
        <v>44166</v>
      </c>
      <c r="C18" s="15">
        <f t="shared" si="5"/>
        <v>90119435.019999996</v>
      </c>
      <c r="D18" s="15">
        <v>95903210.700000003</v>
      </c>
      <c r="E18" s="15">
        <v>6805908.2400000002</v>
      </c>
      <c r="F18" s="15">
        <f t="shared" si="0"/>
        <v>1022132.5599999875</v>
      </c>
      <c r="G18" s="15">
        <f>36289.23+25815.6</f>
        <v>62104.83</v>
      </c>
      <c r="H18" s="15">
        <f t="shared" si="1"/>
        <v>960027.72999998752</v>
      </c>
      <c r="I18" s="70">
        <v>283963.20999999996</v>
      </c>
      <c r="J18" s="15">
        <f t="shared" si="2"/>
        <v>676064.51999998756</v>
      </c>
      <c r="K18" s="15">
        <f>'p6_BOS Base Rate'!$C$22/12</f>
        <v>1280854.3333333333</v>
      </c>
    </row>
    <row r="19" spans="1:11" x14ac:dyDescent="0.25">
      <c r="A19" s="60">
        <f t="shared" si="3"/>
        <v>-7</v>
      </c>
      <c r="B19" s="61">
        <f t="shared" si="4"/>
        <v>44197</v>
      </c>
      <c r="C19" s="15">
        <f t="shared" si="5"/>
        <v>95903210.700000003</v>
      </c>
      <c r="D19" s="15">
        <v>101633443.03</v>
      </c>
      <c r="E19" s="15">
        <v>6629083.3300000001</v>
      </c>
      <c r="F19" s="15">
        <f>+C19+E19-D19</f>
        <v>898851</v>
      </c>
      <c r="G19" s="15">
        <f>176289.45+56854.6</f>
        <v>233144.05000000002</v>
      </c>
      <c r="H19" s="15">
        <f t="shared" si="1"/>
        <v>665706.94999999995</v>
      </c>
      <c r="I19" s="70">
        <v>264306.06</v>
      </c>
      <c r="J19" s="15">
        <f t="shared" si="2"/>
        <v>401400.88999999996</v>
      </c>
      <c r="K19" s="15">
        <f>'p6_BOS Base Rate'!$C$22/12</f>
        <v>1280854.3333333333</v>
      </c>
    </row>
    <row r="20" spans="1:11" x14ac:dyDescent="0.25">
      <c r="A20" s="60">
        <f t="shared" si="3"/>
        <v>-8</v>
      </c>
      <c r="B20" s="61">
        <f t="shared" si="4"/>
        <v>44228</v>
      </c>
      <c r="C20" s="15">
        <f t="shared" si="5"/>
        <v>101633443.03</v>
      </c>
      <c r="D20" s="15">
        <v>107608136.18000001</v>
      </c>
      <c r="E20" s="15">
        <v>7139330.1899999995</v>
      </c>
      <c r="F20" s="15">
        <f t="shared" ref="F20:F60" si="6">+C20+E20-D20</f>
        <v>1164637.0399999917</v>
      </c>
      <c r="G20" s="15">
        <f>110617.82+20292</f>
        <v>130909.82</v>
      </c>
      <c r="H20" s="15">
        <f t="shared" si="1"/>
        <v>1033727.2199999916</v>
      </c>
      <c r="I20" s="70">
        <v>343959.73</v>
      </c>
      <c r="J20" s="15">
        <f t="shared" si="2"/>
        <v>689767.48999999161</v>
      </c>
      <c r="K20" s="15">
        <f>'p6_BOS Base Rate'!$C$22/12</f>
        <v>1280854.3333333333</v>
      </c>
    </row>
    <row r="21" spans="1:11" x14ac:dyDescent="0.25">
      <c r="A21" s="60">
        <f t="shared" si="3"/>
        <v>-9</v>
      </c>
      <c r="B21" s="61">
        <f>+B20+28</f>
        <v>44256</v>
      </c>
      <c r="C21" s="15">
        <f t="shared" si="5"/>
        <v>107608136.18000001</v>
      </c>
      <c r="D21" s="15">
        <v>98217206.739999995</v>
      </c>
      <c r="E21" s="15">
        <v>-8268582.7500000009</v>
      </c>
      <c r="F21" s="15">
        <f t="shared" si="6"/>
        <v>1122346.6900000125</v>
      </c>
      <c r="G21" s="15">
        <v>68309.039999999994</v>
      </c>
      <c r="H21" s="15">
        <f t="shared" si="1"/>
        <v>1054037.6500000125</v>
      </c>
      <c r="I21" s="70">
        <v>76583.73</v>
      </c>
      <c r="J21" s="15">
        <f t="shared" si="2"/>
        <v>977453.9200000125</v>
      </c>
      <c r="K21" s="15">
        <f>'p6_BOS Base Rate'!$C$22/12</f>
        <v>1280854.3333333333</v>
      </c>
    </row>
    <row r="22" spans="1:11" x14ac:dyDescent="0.25">
      <c r="A22" s="60">
        <f t="shared" si="3"/>
        <v>-10</v>
      </c>
      <c r="B22" s="61">
        <f t="shared" si="4"/>
        <v>44287</v>
      </c>
      <c r="C22" s="15">
        <f t="shared" si="5"/>
        <v>98217206.739999995</v>
      </c>
      <c r="D22" s="15">
        <v>97729608.950000003</v>
      </c>
      <c r="E22" s="15">
        <v>711902.21</v>
      </c>
      <c r="F22" s="15">
        <f t="shared" si="6"/>
        <v>1199499.9999999851</v>
      </c>
      <c r="G22" s="15">
        <f>87241.51+53397.46</f>
        <v>140638.97</v>
      </c>
      <c r="H22" s="15">
        <f t="shared" si="1"/>
        <v>1058861.0299999851</v>
      </c>
      <c r="I22" s="70">
        <v>328134.00000000006</v>
      </c>
      <c r="J22" s="15">
        <f t="shared" si="2"/>
        <v>730727.02999998513</v>
      </c>
      <c r="K22" s="15">
        <f>'p6_BOS Base Rate'!$C$22/12</f>
        <v>1280854.3333333333</v>
      </c>
    </row>
    <row r="23" spans="1:11" x14ac:dyDescent="0.25">
      <c r="A23" s="60">
        <f t="shared" si="3"/>
        <v>-11</v>
      </c>
      <c r="B23" s="61">
        <f>+B22+30</f>
        <v>44317</v>
      </c>
      <c r="C23" s="15">
        <f t="shared" si="5"/>
        <v>97729608.950000003</v>
      </c>
      <c r="D23" s="15">
        <v>96356830.959999993</v>
      </c>
      <c r="E23" s="15">
        <v>-108605.85000000002</v>
      </c>
      <c r="F23" s="15">
        <f t="shared" si="6"/>
        <v>1264172.1400000155</v>
      </c>
      <c r="G23" s="15">
        <f>90908.46+69940.57</f>
        <v>160849.03000000003</v>
      </c>
      <c r="H23" s="15">
        <f t="shared" si="1"/>
        <v>1103323.1100000155</v>
      </c>
      <c r="I23" s="70">
        <v>346192.94000000006</v>
      </c>
      <c r="J23" s="15">
        <f t="shared" si="2"/>
        <v>757130.17000001541</v>
      </c>
      <c r="K23" s="15">
        <f>'p6_BOS Base Rate'!$C$22/12</f>
        <v>1280854.3333333333</v>
      </c>
    </row>
    <row r="24" spans="1:11" x14ac:dyDescent="0.25">
      <c r="A24" s="60">
        <f t="shared" si="3"/>
        <v>-12</v>
      </c>
      <c r="B24" s="61">
        <f t="shared" si="4"/>
        <v>44348</v>
      </c>
      <c r="C24" s="15">
        <f t="shared" si="5"/>
        <v>96356830.959999993</v>
      </c>
      <c r="D24" s="15">
        <v>92651649.950000003</v>
      </c>
      <c r="E24" s="15">
        <v>-1772028.39</v>
      </c>
      <c r="F24" s="15">
        <f t="shared" si="6"/>
        <v>1933152.6199999899</v>
      </c>
      <c r="G24" s="15">
        <f>63536.39+23449.73</f>
        <v>86986.12</v>
      </c>
      <c r="H24" s="15">
        <f t="shared" si="1"/>
        <v>1846166.4999999898</v>
      </c>
      <c r="I24" s="70">
        <v>592142.39</v>
      </c>
      <c r="J24" s="15">
        <f t="shared" si="2"/>
        <v>1254024.1099999896</v>
      </c>
      <c r="K24" s="15">
        <f>'p6_BOS Base Rate'!$C$22/12</f>
        <v>1280854.3333333333</v>
      </c>
    </row>
    <row r="25" spans="1:11" x14ac:dyDescent="0.25">
      <c r="A25" s="60">
        <f t="shared" si="3"/>
        <v>-13</v>
      </c>
      <c r="B25" s="61">
        <f>+B24+30</f>
        <v>44378</v>
      </c>
      <c r="C25" s="15">
        <f t="shared" si="5"/>
        <v>92651649.950000003</v>
      </c>
      <c r="D25" s="15">
        <v>83222855.469999999</v>
      </c>
      <c r="E25" s="15">
        <v>-7529711.6499999994</v>
      </c>
      <c r="F25" s="15">
        <f t="shared" si="6"/>
        <v>1899082.8299999982</v>
      </c>
      <c r="G25" s="15">
        <f>83061.75+61194.51</f>
        <v>144256.26</v>
      </c>
      <c r="H25" s="15">
        <f t="shared" si="1"/>
        <v>1754826.5699999982</v>
      </c>
      <c r="I25" s="70">
        <v>611223.78999999992</v>
      </c>
      <c r="J25" s="15">
        <f t="shared" si="2"/>
        <v>1143602.7799999984</v>
      </c>
      <c r="K25" s="15">
        <f>'p6_BOS Base Rate'!$C$22/12</f>
        <v>1280854.3333333333</v>
      </c>
    </row>
    <row r="26" spans="1:11" x14ac:dyDescent="0.25">
      <c r="A26" s="60">
        <f t="shared" si="3"/>
        <v>-14</v>
      </c>
      <c r="B26" s="61">
        <f t="shared" si="4"/>
        <v>44409</v>
      </c>
      <c r="C26" s="15">
        <f t="shared" si="5"/>
        <v>83222855.469999999</v>
      </c>
      <c r="D26" s="15">
        <v>76750100.400000006</v>
      </c>
      <c r="E26" s="15">
        <v>-5157092.2700000005</v>
      </c>
      <c r="F26" s="15">
        <f t="shared" si="6"/>
        <v>1315662.799999997</v>
      </c>
      <c r="G26" s="15">
        <f>78078.85+21173.72</f>
        <v>99252.57</v>
      </c>
      <c r="H26" s="15">
        <f t="shared" si="1"/>
        <v>1216410.229999997</v>
      </c>
      <c r="I26" s="70">
        <v>360242.83</v>
      </c>
      <c r="J26" s="15">
        <f t="shared" si="2"/>
        <v>856167.39999999688</v>
      </c>
      <c r="K26" s="15">
        <f>'p6_BOS Base Rate'!$C$22/12</f>
        <v>1280854.3333333333</v>
      </c>
    </row>
    <row r="27" spans="1:11" x14ac:dyDescent="0.25">
      <c r="A27" s="60">
        <f t="shared" si="3"/>
        <v>-15</v>
      </c>
      <c r="B27" s="61">
        <f t="shared" si="4"/>
        <v>44440</v>
      </c>
      <c r="C27" s="15">
        <f t="shared" si="5"/>
        <v>76750100.400000006</v>
      </c>
      <c r="D27" s="15">
        <v>83006378.609999999</v>
      </c>
      <c r="E27" s="15">
        <v>7932054.7400000002</v>
      </c>
      <c r="F27" s="15">
        <f t="shared" si="6"/>
        <v>1675776.5300000012</v>
      </c>
      <c r="G27" s="15">
        <f>73885.77+41628.74</f>
        <v>115514.51000000001</v>
      </c>
      <c r="H27" s="15">
        <f t="shared" si="1"/>
        <v>1560262.0200000012</v>
      </c>
      <c r="I27" s="70">
        <v>457141.70999999996</v>
      </c>
      <c r="J27" s="15">
        <f t="shared" si="2"/>
        <v>1103120.3100000012</v>
      </c>
      <c r="K27" s="15">
        <f>'p6_BOS Base Rate'!$C$22/12</f>
        <v>1280854.3333333333</v>
      </c>
    </row>
    <row r="28" spans="1:11" x14ac:dyDescent="0.25">
      <c r="A28" s="60">
        <f t="shared" si="3"/>
        <v>-16</v>
      </c>
      <c r="B28" s="61">
        <f>+B27+30</f>
        <v>44470</v>
      </c>
      <c r="C28" s="15">
        <f t="shared" si="5"/>
        <v>83006378.609999999</v>
      </c>
      <c r="D28" s="15">
        <v>79699681.709999993</v>
      </c>
      <c r="E28" s="15">
        <v>-791337.30999999994</v>
      </c>
      <c r="F28" s="15">
        <f t="shared" si="6"/>
        <v>2515359.5900000036</v>
      </c>
      <c r="G28" s="15">
        <f>93206.25+74951.58</f>
        <v>168157.83000000002</v>
      </c>
      <c r="H28" s="15">
        <f t="shared" si="1"/>
        <v>2347201.7600000035</v>
      </c>
      <c r="I28" s="70">
        <v>699360.38</v>
      </c>
      <c r="J28" s="15">
        <f t="shared" si="2"/>
        <v>1647841.3800000036</v>
      </c>
      <c r="K28" s="15">
        <f>'p6_BOS Base Rate'!$C$32/12</f>
        <v>1463397.9166666667</v>
      </c>
    </row>
    <row r="29" spans="1:11" x14ac:dyDescent="0.25">
      <c r="A29" s="60">
        <f t="shared" si="3"/>
        <v>-17</v>
      </c>
      <c r="B29" s="61">
        <f t="shared" si="4"/>
        <v>44501</v>
      </c>
      <c r="C29" s="15">
        <f t="shared" si="5"/>
        <v>79699681.709999993</v>
      </c>
      <c r="D29" s="15">
        <v>78578898.930000007</v>
      </c>
      <c r="E29" s="15">
        <v>1952711.44</v>
      </c>
      <c r="F29" s="15">
        <f t="shared" si="6"/>
        <v>3073494.2199999839</v>
      </c>
      <c r="G29" s="15">
        <f>150391.02+30355.31</f>
        <v>180746.33</v>
      </c>
      <c r="H29" s="15">
        <f t="shared" si="1"/>
        <v>2892747.8899999838</v>
      </c>
      <c r="I29" s="70">
        <v>819324.04000000015</v>
      </c>
      <c r="J29" s="15">
        <f t="shared" si="2"/>
        <v>2073423.8499999838</v>
      </c>
      <c r="K29" s="15">
        <f>'p6_BOS Base Rate'!$C$32/12</f>
        <v>1463397.9166666667</v>
      </c>
    </row>
    <row r="30" spans="1:11" x14ac:dyDescent="0.25">
      <c r="A30" s="60">
        <f t="shared" si="3"/>
        <v>-18</v>
      </c>
      <c r="B30" s="61">
        <f>+B29+30</f>
        <v>44531</v>
      </c>
      <c r="C30" s="15">
        <f t="shared" si="5"/>
        <v>78578898.930000007</v>
      </c>
      <c r="D30" s="15">
        <v>81597984.879999995</v>
      </c>
      <c r="E30" s="15">
        <v>5904911.1300000008</v>
      </c>
      <c r="F30" s="15">
        <f t="shared" si="6"/>
        <v>2885825.1800000072</v>
      </c>
      <c r="G30" s="15">
        <f>126367.23+91303.64</f>
        <v>217670.87</v>
      </c>
      <c r="H30" s="15">
        <f t="shared" si="1"/>
        <v>2668154.310000007</v>
      </c>
      <c r="I30" s="70">
        <v>716805.9</v>
      </c>
      <c r="J30" s="15">
        <f t="shared" si="2"/>
        <v>1951348.4100000071</v>
      </c>
      <c r="K30" s="15">
        <f>'p6_BOS Base Rate'!$C$32/12</f>
        <v>1463397.9166666667</v>
      </c>
    </row>
    <row r="31" spans="1:11" x14ac:dyDescent="0.25">
      <c r="A31" s="60">
        <f t="shared" si="3"/>
        <v>-19</v>
      </c>
      <c r="B31" s="61">
        <f t="shared" si="4"/>
        <v>44562</v>
      </c>
      <c r="C31" s="15">
        <f t="shared" si="5"/>
        <v>81597984.879999995</v>
      </c>
      <c r="D31" s="15">
        <v>89387973.590000004</v>
      </c>
      <c r="E31" s="15">
        <v>10707681.5</v>
      </c>
      <c r="F31" s="15">
        <f t="shared" si="6"/>
        <v>2917692.7899999917</v>
      </c>
      <c r="G31" s="15">
        <f>110444.61+64942.01</f>
        <v>175386.62</v>
      </c>
      <c r="H31" s="15">
        <f t="shared" si="1"/>
        <v>2742306.1699999915</v>
      </c>
      <c r="I31" s="70">
        <v>736028.75000000012</v>
      </c>
      <c r="J31" s="15">
        <f t="shared" si="2"/>
        <v>2006277.4199999915</v>
      </c>
      <c r="K31" s="15">
        <f>'p6_BOS Base Rate'!$C$32/12</f>
        <v>1463397.9166666667</v>
      </c>
    </row>
    <row r="32" spans="1:11" x14ac:dyDescent="0.25">
      <c r="A32" s="60">
        <f t="shared" si="3"/>
        <v>-20</v>
      </c>
      <c r="B32" s="61">
        <f t="shared" si="4"/>
        <v>44593</v>
      </c>
      <c r="C32" s="15">
        <f t="shared" si="5"/>
        <v>89387973.590000004</v>
      </c>
      <c r="D32" s="15">
        <v>93041545.530000001</v>
      </c>
      <c r="E32" s="15">
        <v>6264966.1199999992</v>
      </c>
      <c r="F32" s="15">
        <f t="shared" si="6"/>
        <v>2611394.1800000072</v>
      </c>
      <c r="G32" s="15">
        <f>146440.47+113735.1</f>
        <v>260175.57</v>
      </c>
      <c r="H32" s="15">
        <f t="shared" si="1"/>
        <v>2351218.6100000073</v>
      </c>
      <c r="I32" s="70">
        <v>624856.71</v>
      </c>
      <c r="J32" s="15">
        <f t="shared" si="2"/>
        <v>1726361.9000000074</v>
      </c>
      <c r="K32" s="15">
        <f>'p6_BOS Base Rate'!$C$32/12</f>
        <v>1463397.9166666667</v>
      </c>
    </row>
    <row r="33" spans="1:11" x14ac:dyDescent="0.25">
      <c r="A33" s="60">
        <f t="shared" si="3"/>
        <v>-21</v>
      </c>
      <c r="B33" s="61">
        <f>+B32+28</f>
        <v>44621</v>
      </c>
      <c r="C33" s="15">
        <f t="shared" si="5"/>
        <v>93041545.530000001</v>
      </c>
      <c r="D33" s="15">
        <v>95114129.719999999</v>
      </c>
      <c r="E33" s="15">
        <v>3583378.2800000003</v>
      </c>
      <c r="F33" s="15">
        <f t="shared" si="6"/>
        <v>1510794.0900000036</v>
      </c>
      <c r="G33" s="15">
        <f>80772.08+69231.07</f>
        <v>150003.15000000002</v>
      </c>
      <c r="H33" s="15">
        <f t="shared" si="1"/>
        <v>1360790.9400000037</v>
      </c>
      <c r="I33" s="70">
        <v>521694.35</v>
      </c>
      <c r="J33" s="15">
        <f t="shared" si="2"/>
        <v>839096.59000000369</v>
      </c>
      <c r="K33" s="15">
        <f>'p6_BOS Base Rate'!$C$32/12</f>
        <v>1463397.9166666667</v>
      </c>
    </row>
    <row r="34" spans="1:11" x14ac:dyDescent="0.25">
      <c r="A34" s="60">
        <f t="shared" si="3"/>
        <v>-22</v>
      </c>
      <c r="B34" s="61">
        <f t="shared" si="4"/>
        <v>44652</v>
      </c>
      <c r="C34" s="15">
        <f t="shared" si="5"/>
        <v>95114129.719999999</v>
      </c>
      <c r="D34" s="15">
        <v>97095656.819999993</v>
      </c>
      <c r="E34" s="15">
        <v>3530554.9699999997</v>
      </c>
      <c r="F34" s="15">
        <f t="shared" si="6"/>
        <v>1549027.8700000048</v>
      </c>
      <c r="G34" s="15">
        <f>81721.64+50256.99</f>
        <v>131978.63</v>
      </c>
      <c r="H34" s="15">
        <f t="shared" si="1"/>
        <v>1417049.2400000049</v>
      </c>
      <c r="I34" s="70">
        <v>417981.15999999992</v>
      </c>
      <c r="J34" s="15">
        <f t="shared" si="2"/>
        <v>999068.08000000496</v>
      </c>
      <c r="K34" s="15">
        <f>'p6_BOS Base Rate'!$C$32/12</f>
        <v>1463397.9166666667</v>
      </c>
    </row>
    <row r="35" spans="1:11" x14ac:dyDescent="0.25">
      <c r="A35" s="60">
        <f t="shared" si="3"/>
        <v>-23</v>
      </c>
      <c r="B35" s="61">
        <f>+B34+30</f>
        <v>44682</v>
      </c>
      <c r="C35" s="15">
        <f t="shared" si="5"/>
        <v>97095656.819999993</v>
      </c>
      <c r="D35" s="15">
        <v>95898268.959999993</v>
      </c>
      <c r="E35" s="15">
        <v>182285.6</v>
      </c>
      <c r="F35" s="15">
        <f t="shared" si="6"/>
        <v>1379673.4599999934</v>
      </c>
      <c r="G35" s="15">
        <f>64274.79+49947.68</f>
        <v>114222.47</v>
      </c>
      <c r="H35" s="15">
        <f t="shared" si="1"/>
        <v>1265450.9899999935</v>
      </c>
      <c r="I35" s="70">
        <v>392344.57</v>
      </c>
      <c r="J35" s="15">
        <f t="shared" si="2"/>
        <v>873106.41999999341</v>
      </c>
      <c r="K35" s="15">
        <f>'p6_BOS Base Rate'!$C$32/12</f>
        <v>1463397.9166666667</v>
      </c>
    </row>
    <row r="36" spans="1:11" x14ac:dyDescent="0.25">
      <c r="A36" s="60">
        <f t="shared" si="3"/>
        <v>-24</v>
      </c>
      <c r="B36" s="61">
        <f t="shared" si="4"/>
        <v>44713</v>
      </c>
      <c r="C36" s="15">
        <f t="shared" si="5"/>
        <v>95898268.959999993</v>
      </c>
      <c r="D36" s="15">
        <v>90281780.640000001</v>
      </c>
      <c r="E36" s="15">
        <v>-2859552.19</v>
      </c>
      <c r="F36" s="15">
        <f t="shared" si="6"/>
        <v>2756936.1299999952</v>
      </c>
      <c r="G36" s="15">
        <f>55612.48+58577.29</f>
        <v>114189.77</v>
      </c>
      <c r="H36" s="15">
        <f t="shared" si="1"/>
        <v>2642746.3599999952</v>
      </c>
      <c r="I36" s="70">
        <v>986948.17999999993</v>
      </c>
      <c r="J36" s="15">
        <f t="shared" si="2"/>
        <v>1655798.1799999953</v>
      </c>
      <c r="K36" s="15">
        <f>'p6_BOS Base Rate'!$C$32/12</f>
        <v>1463397.9166666667</v>
      </c>
    </row>
    <row r="37" spans="1:11" x14ac:dyDescent="0.25">
      <c r="A37" s="60">
        <v>-25</v>
      </c>
      <c r="B37" s="61">
        <v>44744</v>
      </c>
      <c r="C37" s="15">
        <f t="shared" si="5"/>
        <v>90281780.640000001</v>
      </c>
      <c r="D37" s="15">
        <v>85974050.049999997</v>
      </c>
      <c r="E37" s="15">
        <v>-1796445.4</v>
      </c>
      <c r="F37" s="15">
        <f t="shared" si="6"/>
        <v>2511285.1899999976</v>
      </c>
      <c r="G37" s="15">
        <v>188711.99</v>
      </c>
      <c r="H37" s="15">
        <f t="shared" si="1"/>
        <v>2322573.1999999974</v>
      </c>
      <c r="I37" s="70">
        <v>763011.75999999989</v>
      </c>
      <c r="J37" s="15">
        <f t="shared" si="2"/>
        <v>1559561.4399999976</v>
      </c>
      <c r="K37" s="15">
        <f>'p6_BOS Base Rate'!$C$32/12</f>
        <v>1463397.9166666667</v>
      </c>
    </row>
    <row r="38" spans="1:11" x14ac:dyDescent="0.25">
      <c r="A38" s="60">
        <v>-26</v>
      </c>
      <c r="B38" s="61">
        <v>44774</v>
      </c>
      <c r="C38" s="15">
        <f t="shared" si="5"/>
        <v>85974050.049999997</v>
      </c>
      <c r="D38" s="15">
        <v>80135956.069999993</v>
      </c>
      <c r="E38" s="15">
        <v>-1123072.25</v>
      </c>
      <c r="F38" s="15">
        <f t="shared" si="6"/>
        <v>4715021.7300000042</v>
      </c>
      <c r="G38" s="15">
        <v>223189.45</v>
      </c>
      <c r="H38" s="15">
        <f t="shared" si="1"/>
        <v>4491832.280000004</v>
      </c>
      <c r="I38" s="70">
        <v>1353447.0199999998</v>
      </c>
      <c r="J38" s="15">
        <f t="shared" si="2"/>
        <v>3138385.2600000044</v>
      </c>
      <c r="K38" s="15">
        <f>'p6_BOS Base Rate'!$C$32/12</f>
        <v>1463397.9166666667</v>
      </c>
    </row>
    <row r="39" spans="1:11" x14ac:dyDescent="0.25">
      <c r="A39" s="60">
        <v>-27</v>
      </c>
      <c r="B39" s="61">
        <v>44805</v>
      </c>
      <c r="C39" s="15">
        <f t="shared" si="5"/>
        <v>80135956.069999993</v>
      </c>
      <c r="D39" s="15">
        <v>76646104.879999995</v>
      </c>
      <c r="E39" s="15">
        <v>430432.91</v>
      </c>
      <c r="F39" s="15">
        <f t="shared" si="6"/>
        <v>3920284.099999994</v>
      </c>
      <c r="G39" s="15">
        <v>332584.26</v>
      </c>
      <c r="H39" s="15">
        <f t="shared" si="1"/>
        <v>3587699.8399999943</v>
      </c>
      <c r="I39" s="70">
        <v>1395426.5599999998</v>
      </c>
      <c r="J39" s="15">
        <f t="shared" si="2"/>
        <v>2192273.2799999947</v>
      </c>
      <c r="K39" s="15">
        <f>'p6_BOS Base Rate'!$C$32/12</f>
        <v>1463397.9166666667</v>
      </c>
    </row>
    <row r="40" spans="1:11" x14ac:dyDescent="0.25">
      <c r="A40" s="60">
        <v>-28</v>
      </c>
      <c r="B40" s="61">
        <v>44836</v>
      </c>
      <c r="C40" s="15">
        <f t="shared" si="5"/>
        <v>76646104.879999995</v>
      </c>
      <c r="D40" s="15">
        <v>73816538.659999996</v>
      </c>
      <c r="E40" s="15">
        <v>-172659.88</v>
      </c>
      <c r="F40" s="15">
        <f t="shared" si="6"/>
        <v>2656906.3400000036</v>
      </c>
      <c r="G40" s="15">
        <v>184492.25</v>
      </c>
      <c r="H40" s="15">
        <f t="shared" si="1"/>
        <v>2472414.0900000036</v>
      </c>
      <c r="I40" s="70">
        <v>748963.98</v>
      </c>
      <c r="J40" s="15">
        <f t="shared" si="2"/>
        <v>1723450.1100000036</v>
      </c>
      <c r="K40" s="15">
        <f>'p6_BOS Base Rate'!$C$43/12</f>
        <v>1577226.5321938933</v>
      </c>
    </row>
    <row r="41" spans="1:11" x14ac:dyDescent="0.25">
      <c r="A41" s="60">
        <v>-29</v>
      </c>
      <c r="B41" s="61">
        <v>44866</v>
      </c>
      <c r="C41" s="15">
        <f t="shared" si="5"/>
        <v>73816538.659999996</v>
      </c>
      <c r="D41" s="15">
        <v>73733228.079999998</v>
      </c>
      <c r="E41" s="15">
        <v>2829705.13</v>
      </c>
      <c r="F41" s="15">
        <f t="shared" si="6"/>
        <v>2913015.7099999934</v>
      </c>
      <c r="G41" s="15">
        <v>233039.5</v>
      </c>
      <c r="H41" s="15">
        <f t="shared" si="1"/>
        <v>2679976.2099999934</v>
      </c>
      <c r="I41" s="70">
        <v>843994.91999999993</v>
      </c>
      <c r="J41" s="15">
        <f t="shared" si="2"/>
        <v>1835981.2899999935</v>
      </c>
      <c r="K41" s="15">
        <f>'p6_BOS Base Rate'!$C$43/12</f>
        <v>1577226.5321938933</v>
      </c>
    </row>
    <row r="42" spans="1:11" x14ac:dyDescent="0.25">
      <c r="A42" s="60">
        <v>-30</v>
      </c>
      <c r="B42" s="61">
        <v>44897</v>
      </c>
      <c r="C42" s="15">
        <f t="shared" si="5"/>
        <v>73733228.079999998</v>
      </c>
      <c r="D42" s="15">
        <v>79933352.680000007</v>
      </c>
      <c r="E42" s="15">
        <v>9365095.9600000009</v>
      </c>
      <c r="F42" s="15">
        <f t="shared" si="6"/>
        <v>3164971.3599999845</v>
      </c>
      <c r="G42" s="15">
        <v>264020.76</v>
      </c>
      <c r="H42" s="15">
        <f t="shared" si="1"/>
        <v>2900950.5999999847</v>
      </c>
      <c r="I42" s="70">
        <v>804394.77</v>
      </c>
      <c r="J42" s="15">
        <f t="shared" si="2"/>
        <v>2096555.8299999847</v>
      </c>
      <c r="K42" s="15">
        <f>'p6_BOS Base Rate'!$C$43/12</f>
        <v>1577226.5321938933</v>
      </c>
    </row>
    <row r="43" spans="1:11" x14ac:dyDescent="0.25">
      <c r="A43" s="60">
        <v>-31</v>
      </c>
      <c r="B43" s="61">
        <v>44928</v>
      </c>
      <c r="C43" s="15">
        <f t="shared" si="5"/>
        <v>79933352.680000007</v>
      </c>
      <c r="D43" s="15">
        <v>86771341.629999995</v>
      </c>
      <c r="E43" s="15">
        <v>10321292.310000001</v>
      </c>
      <c r="F43" s="15">
        <f t="shared" si="6"/>
        <v>3483303.3600000143</v>
      </c>
      <c r="G43" s="15">
        <v>283919.07</v>
      </c>
      <c r="H43" s="15">
        <f t="shared" si="1"/>
        <v>3199384.2900000145</v>
      </c>
      <c r="I43" s="70">
        <v>919223.81</v>
      </c>
      <c r="J43" s="15">
        <f t="shared" si="2"/>
        <v>2280160.4800000144</v>
      </c>
      <c r="K43" s="15">
        <f>'p6_BOS Base Rate'!$C$43/12</f>
        <v>1577226.5321938933</v>
      </c>
    </row>
    <row r="44" spans="1:11" x14ac:dyDescent="0.25">
      <c r="A44" s="60">
        <v>-32</v>
      </c>
      <c r="B44" s="61">
        <v>44959</v>
      </c>
      <c r="C44" s="15">
        <f t="shared" si="5"/>
        <v>86771341.629999995</v>
      </c>
      <c r="D44" s="15">
        <v>91515101.430000007</v>
      </c>
      <c r="E44" s="15">
        <v>7206822.5999999996</v>
      </c>
      <c r="F44" s="15">
        <f t="shared" si="6"/>
        <v>2463062.7999999821</v>
      </c>
      <c r="G44" s="15">
        <v>224010.66999999998</v>
      </c>
      <c r="H44" s="15">
        <f t="shared" si="1"/>
        <v>2239052.1299999822</v>
      </c>
      <c r="I44" s="70">
        <v>836298.88</v>
      </c>
      <c r="J44" s="15">
        <f t="shared" si="2"/>
        <v>1402753.2499999823</v>
      </c>
      <c r="K44" s="15">
        <f>'p6_BOS Base Rate'!$C$43/12</f>
        <v>1577226.5321938933</v>
      </c>
    </row>
    <row r="45" spans="1:11" x14ac:dyDescent="0.25">
      <c r="A45" s="60">
        <v>-33</v>
      </c>
      <c r="B45" s="61">
        <v>44989</v>
      </c>
      <c r="C45" s="15">
        <f t="shared" si="5"/>
        <v>91515101.430000007</v>
      </c>
      <c r="D45" s="15">
        <v>96002696.849999994</v>
      </c>
      <c r="E45" s="15">
        <v>6292916.1099999994</v>
      </c>
      <c r="F45" s="15">
        <f t="shared" si="6"/>
        <v>1805320.6900000125</v>
      </c>
      <c r="G45" s="15">
        <v>235701.82</v>
      </c>
      <c r="H45" s="15">
        <f t="shared" si="1"/>
        <v>1569618.8700000125</v>
      </c>
      <c r="I45" s="70">
        <v>485799.5</v>
      </c>
      <c r="J45" s="15">
        <f t="shared" si="2"/>
        <v>1083819.3700000125</v>
      </c>
      <c r="K45" s="15">
        <f>'p6_BOS Base Rate'!$C$43/12</f>
        <v>1577226.5321938933</v>
      </c>
    </row>
    <row r="46" spans="1:11" x14ac:dyDescent="0.25">
      <c r="A46" s="60">
        <v>-34</v>
      </c>
      <c r="B46" s="61">
        <v>45019</v>
      </c>
      <c r="C46" s="15">
        <f t="shared" si="5"/>
        <v>96002696.849999994</v>
      </c>
      <c r="D46" s="15">
        <v>98674559.5</v>
      </c>
      <c r="E46" s="15">
        <v>4679334.0999999996</v>
      </c>
      <c r="F46" s="15">
        <f t="shared" si="6"/>
        <v>2007471.4499999881</v>
      </c>
      <c r="G46" s="15">
        <v>176293.59000000003</v>
      </c>
      <c r="H46" s="15">
        <f t="shared" si="1"/>
        <v>1831177.859999988</v>
      </c>
      <c r="I46" s="70">
        <v>626747.02</v>
      </c>
      <c r="J46" s="15">
        <f t="shared" si="2"/>
        <v>1204430.839999988</v>
      </c>
      <c r="K46" s="15">
        <f>'p6_BOS Base Rate'!$C$43/12</f>
        <v>1577226.5321938933</v>
      </c>
    </row>
    <row r="47" spans="1:11" x14ac:dyDescent="0.25">
      <c r="A47" s="60">
        <v>-35</v>
      </c>
      <c r="B47" s="61">
        <v>45049</v>
      </c>
      <c r="C47" s="15">
        <f t="shared" si="5"/>
        <v>98674559.5</v>
      </c>
      <c r="D47" s="15">
        <v>98697205.819999993</v>
      </c>
      <c r="E47" s="15">
        <v>1678482.83</v>
      </c>
      <c r="F47" s="15">
        <f t="shared" si="6"/>
        <v>1655836.5100000054</v>
      </c>
      <c r="G47" s="15">
        <v>112813.60999999999</v>
      </c>
      <c r="H47" s="15">
        <f t="shared" si="1"/>
        <v>1543022.9000000055</v>
      </c>
      <c r="I47" s="70">
        <v>539023.30000000005</v>
      </c>
      <c r="J47" s="15">
        <f t="shared" si="2"/>
        <v>1003999.6000000054</v>
      </c>
      <c r="K47" s="15">
        <f>'p6_BOS Base Rate'!$C$43/12</f>
        <v>1577226.5321938933</v>
      </c>
    </row>
    <row r="48" spans="1:11" x14ac:dyDescent="0.25">
      <c r="A48" s="60">
        <v>-36</v>
      </c>
      <c r="B48" s="61">
        <v>45079</v>
      </c>
      <c r="C48" s="15">
        <f t="shared" si="5"/>
        <v>98697205.819999993</v>
      </c>
      <c r="D48" s="15">
        <v>96160749.739999995</v>
      </c>
      <c r="E48" s="15">
        <v>344271.65</v>
      </c>
      <c r="F48" s="15">
        <f t="shared" si="6"/>
        <v>2880727.7300000042</v>
      </c>
      <c r="G48" s="15">
        <v>62406.31</v>
      </c>
      <c r="H48" s="15">
        <f t="shared" si="1"/>
        <v>2818321.4200000041</v>
      </c>
      <c r="I48" s="70">
        <v>983687.15</v>
      </c>
      <c r="J48" s="15">
        <f t="shared" si="2"/>
        <v>1834634.2700000042</v>
      </c>
      <c r="K48" s="15">
        <f>'p6_BOS Base Rate'!$C$43/12</f>
        <v>1577226.5321938933</v>
      </c>
    </row>
    <row r="49" spans="1:11" x14ac:dyDescent="0.25">
      <c r="A49" s="60">
        <v>-37</v>
      </c>
      <c r="B49" s="61">
        <v>45109</v>
      </c>
      <c r="C49" s="15">
        <f t="shared" si="5"/>
        <v>96160749.739999995</v>
      </c>
      <c r="D49" s="15">
        <v>94150299.849999994</v>
      </c>
      <c r="E49" s="15">
        <v>898398.29999999993</v>
      </c>
      <c r="F49" s="15">
        <f t="shared" si="6"/>
        <v>2908848.1899999976</v>
      </c>
      <c r="G49" s="15">
        <v>120289.44</v>
      </c>
      <c r="H49" s="15">
        <f t="shared" si="1"/>
        <v>2788558.7499999977</v>
      </c>
      <c r="I49" s="70">
        <v>719457.5</v>
      </c>
      <c r="J49" s="15">
        <f t="shared" si="2"/>
        <v>2069101.2499999977</v>
      </c>
      <c r="K49" s="15">
        <f>'p6_BOS Base Rate'!$C$43/12</f>
        <v>1577226.5321938933</v>
      </c>
    </row>
    <row r="50" spans="1:11" x14ac:dyDescent="0.25">
      <c r="A50" s="60">
        <v>-38</v>
      </c>
      <c r="B50" s="61">
        <v>45139</v>
      </c>
      <c r="C50" s="15">
        <f t="shared" si="5"/>
        <v>94150299.849999994</v>
      </c>
      <c r="D50" s="15">
        <v>90052223.409999996</v>
      </c>
      <c r="E50" s="15">
        <v>-605992.13</v>
      </c>
      <c r="F50" s="15">
        <f t="shared" si="6"/>
        <v>3492084.3100000024</v>
      </c>
      <c r="G50" s="15">
        <v>75426.92</v>
      </c>
      <c r="H50" s="15">
        <f t="shared" si="1"/>
        <v>3416657.3900000025</v>
      </c>
      <c r="I50" s="70">
        <v>1100600.44</v>
      </c>
      <c r="J50" s="15">
        <f t="shared" si="2"/>
        <v>2316056.9500000025</v>
      </c>
      <c r="K50" s="15">
        <f>'p6_BOS Base Rate'!$C$43/12</f>
        <v>1577226.5321938933</v>
      </c>
    </row>
    <row r="51" spans="1:11" x14ac:dyDescent="0.25">
      <c r="A51" s="60">
        <v>-39</v>
      </c>
      <c r="B51" s="61">
        <v>45170</v>
      </c>
      <c r="C51" s="15">
        <f t="shared" si="5"/>
        <v>90052223.409999996</v>
      </c>
      <c r="D51" s="15">
        <v>86968395.269999996</v>
      </c>
      <c r="E51" s="15">
        <v>417669.47</v>
      </c>
      <c r="F51" s="15">
        <f t="shared" si="6"/>
        <v>3501497.6099999994</v>
      </c>
      <c r="G51" s="15">
        <v>196231.12</v>
      </c>
      <c r="H51" s="15">
        <f t="shared" si="1"/>
        <v>3305266.4899999993</v>
      </c>
      <c r="I51" s="70">
        <v>1039717.2899999999</v>
      </c>
      <c r="J51" s="15">
        <f t="shared" si="2"/>
        <v>2265549.1999999993</v>
      </c>
      <c r="K51" s="15">
        <f>'p6_BOS Base Rate'!$C$43/12</f>
        <v>1577226.5321938933</v>
      </c>
    </row>
    <row r="52" spans="1:11" x14ac:dyDescent="0.25">
      <c r="A52" s="60">
        <v>-40</v>
      </c>
      <c r="B52" s="61">
        <v>45201</v>
      </c>
      <c r="C52" s="15">
        <f t="shared" si="5"/>
        <v>86968395.269999996</v>
      </c>
      <c r="D52" s="15">
        <v>84125764.209999993</v>
      </c>
      <c r="E52" s="15">
        <v>-49156.270000000004</v>
      </c>
      <c r="F52" s="15">
        <f t="shared" si="6"/>
        <v>2793474.7900000066</v>
      </c>
      <c r="G52" s="15">
        <v>202817.86</v>
      </c>
      <c r="H52" s="15">
        <f t="shared" si="1"/>
        <v>2590656.9300000067</v>
      </c>
      <c r="I52" s="70">
        <v>780819.17999999993</v>
      </c>
      <c r="J52" s="15">
        <f t="shared" si="2"/>
        <v>1809837.7500000068</v>
      </c>
      <c r="K52" s="15">
        <f>'p6_BOS Base Rate'!$C$50/12</f>
        <v>1679367.7229788124</v>
      </c>
    </row>
    <row r="53" spans="1:11" x14ac:dyDescent="0.25">
      <c r="A53" s="60">
        <v>-41</v>
      </c>
      <c r="B53" s="61">
        <v>45232</v>
      </c>
      <c r="C53" s="15">
        <f t="shared" si="5"/>
        <v>84125764.209999993</v>
      </c>
      <c r="D53" s="15">
        <v>83862987.930000007</v>
      </c>
      <c r="E53" s="15">
        <v>3224052.29</v>
      </c>
      <c r="F53" s="15">
        <f t="shared" si="6"/>
        <v>3486828.5699999928</v>
      </c>
      <c r="G53" s="15">
        <v>152897.81</v>
      </c>
      <c r="H53" s="15">
        <f t="shared" si="1"/>
        <v>3333930.7599999928</v>
      </c>
      <c r="I53" s="70">
        <v>953971.04</v>
      </c>
      <c r="J53" s="15">
        <f t="shared" si="2"/>
        <v>2379959.7199999928</v>
      </c>
      <c r="K53" s="15">
        <f>'p6_BOS Base Rate'!$C$50/12</f>
        <v>1679367.7229788124</v>
      </c>
    </row>
    <row r="54" spans="1:11" x14ac:dyDescent="0.25">
      <c r="A54" s="60">
        <v>-42</v>
      </c>
      <c r="B54" s="61">
        <v>45263</v>
      </c>
      <c r="C54" s="15">
        <f t="shared" si="5"/>
        <v>83862987.930000007</v>
      </c>
      <c r="D54" s="15">
        <v>88553384.909999996</v>
      </c>
      <c r="E54" s="15">
        <v>8640045.4399999995</v>
      </c>
      <c r="F54" s="15">
        <f t="shared" si="6"/>
        <v>3949648.4600000083</v>
      </c>
      <c r="G54" s="15">
        <v>298242.88</v>
      </c>
      <c r="H54" s="15">
        <f t="shared" si="1"/>
        <v>3651405.5800000085</v>
      </c>
      <c r="I54" s="70">
        <v>1250055.17</v>
      </c>
      <c r="J54" s="15">
        <f t="shared" si="2"/>
        <v>2401350.4100000085</v>
      </c>
      <c r="K54" s="15">
        <f>'p6_BOS Base Rate'!$C$50/12</f>
        <v>1679367.7229788124</v>
      </c>
    </row>
    <row r="55" spans="1:11" x14ac:dyDescent="0.25">
      <c r="A55" s="60">
        <v>-43</v>
      </c>
      <c r="B55" s="61">
        <v>45294</v>
      </c>
      <c r="C55" s="15">
        <f t="shared" si="5"/>
        <v>88553384.909999996</v>
      </c>
      <c r="D55" s="91">
        <v>77841717.450000003</v>
      </c>
      <c r="E55" s="91">
        <v>-6755113.2199999997</v>
      </c>
      <c r="F55" s="15">
        <f t="shared" si="6"/>
        <v>3956554.2399999946</v>
      </c>
      <c r="G55" s="91">
        <v>206013.99</v>
      </c>
      <c r="H55" s="15">
        <f t="shared" si="1"/>
        <v>3750540.2499999944</v>
      </c>
      <c r="I55" s="92">
        <v>1036004.4499999998</v>
      </c>
      <c r="J55" s="15">
        <f t="shared" si="2"/>
        <v>2714535.7999999947</v>
      </c>
      <c r="K55" s="15">
        <f>'p6_BOS Base Rate'!$C$50/12</f>
        <v>1679367.7229788124</v>
      </c>
    </row>
    <row r="56" spans="1:11" x14ac:dyDescent="0.25">
      <c r="A56" s="60">
        <v>-44</v>
      </c>
      <c r="B56" s="61">
        <v>45325</v>
      </c>
      <c r="C56" s="15">
        <f t="shared" si="5"/>
        <v>77841717.450000003</v>
      </c>
      <c r="D56" s="91">
        <v>83187280.329999998</v>
      </c>
      <c r="E56" s="91">
        <v>7830141.3600000003</v>
      </c>
      <c r="F56" s="15">
        <f t="shared" si="6"/>
        <v>2484578.4800000042</v>
      </c>
      <c r="G56" s="91">
        <v>225539.40000000002</v>
      </c>
      <c r="H56" s="15">
        <f t="shared" si="1"/>
        <v>2259039.0800000043</v>
      </c>
      <c r="I56" s="92">
        <v>671590.81</v>
      </c>
      <c r="J56" s="15">
        <f t="shared" si="2"/>
        <v>1587448.2700000042</v>
      </c>
      <c r="K56" s="15">
        <f>'p6_BOS Base Rate'!$C$50/12</f>
        <v>1679367.7229788124</v>
      </c>
    </row>
    <row r="57" spans="1:11" x14ac:dyDescent="0.25">
      <c r="A57" s="60">
        <v>-45</v>
      </c>
      <c r="B57" s="61">
        <v>45356</v>
      </c>
      <c r="C57" s="15">
        <f t="shared" si="5"/>
        <v>83187280.329999998</v>
      </c>
      <c r="D57" s="91">
        <v>88377993.620000005</v>
      </c>
      <c r="E57" s="91">
        <v>7022415.8100000005</v>
      </c>
      <c r="F57" s="15">
        <f t="shared" si="6"/>
        <v>1831702.5199999958</v>
      </c>
      <c r="G57" s="91">
        <v>110581.01999999999</v>
      </c>
      <c r="H57" s="15">
        <f t="shared" si="1"/>
        <v>1721121.4999999958</v>
      </c>
      <c r="I57" s="92">
        <v>484609.19000000006</v>
      </c>
      <c r="J57" s="15">
        <f t="shared" si="2"/>
        <v>1236512.3099999959</v>
      </c>
      <c r="K57" s="15">
        <f>'p6_BOS Base Rate'!$C$50/12</f>
        <v>1679367.7229788124</v>
      </c>
    </row>
    <row r="58" spans="1:11" x14ac:dyDescent="0.25">
      <c r="A58" s="60">
        <v>-46</v>
      </c>
      <c r="B58" s="61">
        <v>45387</v>
      </c>
      <c r="C58" s="15">
        <f t="shared" si="5"/>
        <v>88377993.620000005</v>
      </c>
      <c r="D58" s="91">
        <v>92312279.180000007</v>
      </c>
      <c r="E58" s="91">
        <v>5917322.0899999999</v>
      </c>
      <c r="F58" s="15">
        <f t="shared" si="6"/>
        <v>1983036.5300000012</v>
      </c>
      <c r="G58" s="91">
        <v>59953.65</v>
      </c>
      <c r="H58" s="15">
        <f t="shared" si="1"/>
        <v>1923082.8800000013</v>
      </c>
      <c r="I58" s="92">
        <v>580603.7300000001</v>
      </c>
      <c r="J58" s="15">
        <f t="shared" si="2"/>
        <v>1342479.1500000013</v>
      </c>
      <c r="K58" s="15">
        <f>'p6_BOS Base Rate'!$C$50/12</f>
        <v>1679367.7229788124</v>
      </c>
    </row>
    <row r="59" spans="1:11" x14ac:dyDescent="0.25">
      <c r="A59" s="60">
        <v>-47</v>
      </c>
      <c r="B59" s="61">
        <v>45418</v>
      </c>
      <c r="C59" s="15">
        <f t="shared" si="5"/>
        <v>92312279.180000007</v>
      </c>
      <c r="D59" s="91">
        <v>91633023.480000004</v>
      </c>
      <c r="E59" s="91">
        <v>2916352.5300000003</v>
      </c>
      <c r="F59" s="15">
        <f t="shared" si="6"/>
        <v>3595608.2300000042</v>
      </c>
      <c r="G59" s="91">
        <v>49082.479999999996</v>
      </c>
      <c r="H59" s="15">
        <f t="shared" si="1"/>
        <v>3546525.7500000042</v>
      </c>
      <c r="I59" s="92">
        <v>1093499.71</v>
      </c>
      <c r="J59" s="15">
        <f t="shared" si="2"/>
        <v>2453026.0400000042</v>
      </c>
      <c r="K59" s="15">
        <f>'p6_BOS Base Rate'!$C$50/12</f>
        <v>1679367.7229788124</v>
      </c>
    </row>
    <row r="60" spans="1:11" x14ac:dyDescent="0.25">
      <c r="A60" s="60">
        <v>-48</v>
      </c>
      <c r="B60" s="61">
        <v>45449</v>
      </c>
      <c r="C60" s="15">
        <f t="shared" si="5"/>
        <v>91633023.480000004</v>
      </c>
      <c r="D60" s="91">
        <v>90945441.400000006</v>
      </c>
      <c r="E60" s="91">
        <v>1212158.1599999999</v>
      </c>
      <c r="F60" s="15">
        <f t="shared" si="6"/>
        <v>1899740.2399999946</v>
      </c>
      <c r="G60" s="91">
        <v>49082.479999999996</v>
      </c>
      <c r="H60" s="15">
        <f t="shared" si="1"/>
        <v>1850657.7599999947</v>
      </c>
      <c r="I60" s="92">
        <v>679042.75107789366</v>
      </c>
      <c r="J60" s="15">
        <f t="shared" si="2"/>
        <v>1171615.008922101</v>
      </c>
      <c r="K60" s="15">
        <f>'p6_BOS Base Rate'!$C$50/12</f>
        <v>1679367.7229788124</v>
      </c>
    </row>
    <row r="62" spans="1:11" x14ac:dyDescent="0.25">
      <c r="A62" s="60"/>
      <c r="B62" s="61"/>
      <c r="J62" s="15"/>
    </row>
    <row r="63" spans="1:11" x14ac:dyDescent="0.25">
      <c r="A63" s="60">
        <f>A60-1</f>
        <v>-49</v>
      </c>
      <c r="B63" s="61" t="s">
        <v>138</v>
      </c>
      <c r="J63" s="15">
        <f>SUM(J13:J62)</f>
        <v>70509490.418922067</v>
      </c>
      <c r="K63" s="15">
        <f>SUM(K13:K62)</f>
        <v>70814617.893136039</v>
      </c>
    </row>
    <row r="66" spans="1:5" x14ac:dyDescent="0.25">
      <c r="A66" s="16" t="str">
        <f>+C11</f>
        <v>(a)</v>
      </c>
      <c r="B66" s="20" t="s">
        <v>74</v>
      </c>
    </row>
    <row r="67" spans="1:5" x14ac:dyDescent="0.25">
      <c r="A67" s="16" t="str">
        <f>+D11</f>
        <v>(b)</v>
      </c>
      <c r="B67" s="20" t="s">
        <v>74</v>
      </c>
    </row>
    <row r="68" spans="1:5" x14ac:dyDescent="0.25">
      <c r="A68" s="16" t="str">
        <f>+E11</f>
        <v>(c)</v>
      </c>
      <c r="B68" s="20" t="s">
        <v>74</v>
      </c>
    </row>
    <row r="69" spans="1:5" x14ac:dyDescent="0.25">
      <c r="A69" s="16" t="str">
        <f>+F11</f>
        <v>(d)</v>
      </c>
      <c r="B69" s="14" t="s">
        <v>117</v>
      </c>
    </row>
    <row r="70" spans="1:5" x14ac:dyDescent="0.25">
      <c r="A70" s="16" t="str">
        <f>+G11</f>
        <v>(e)</v>
      </c>
      <c r="B70" s="20" t="s">
        <v>116</v>
      </c>
    </row>
    <row r="71" spans="1:5" x14ac:dyDescent="0.25">
      <c r="A71" s="16" t="str">
        <f>+H11</f>
        <v>(f)</v>
      </c>
      <c r="B71" s="14" t="s">
        <v>118</v>
      </c>
    </row>
    <row r="72" spans="1:5" x14ac:dyDescent="0.25">
      <c r="A72" s="16" t="str">
        <f>+I11</f>
        <v>(g)</v>
      </c>
      <c r="B72" s="79" t="s">
        <v>128</v>
      </c>
      <c r="C72" s="79"/>
      <c r="D72" s="79"/>
      <c r="E72" s="79"/>
    </row>
    <row r="73" spans="1:5" x14ac:dyDescent="0.25">
      <c r="A73" s="16" t="str">
        <f>+J11</f>
        <v>(h)</v>
      </c>
      <c r="B73" s="14" t="s">
        <v>119</v>
      </c>
    </row>
    <row r="74" spans="1:5" x14ac:dyDescent="0.25">
      <c r="A74" s="93" t="s">
        <v>29</v>
      </c>
      <c r="B74" s="14" t="s">
        <v>172</v>
      </c>
    </row>
    <row r="75" spans="1:5" x14ac:dyDescent="0.25">
      <c r="B75" s="14" t="s">
        <v>171</v>
      </c>
    </row>
    <row r="76" spans="1:5" x14ac:dyDescent="0.25">
      <c r="B76" s="14" t="s">
        <v>173</v>
      </c>
    </row>
    <row r="77" spans="1:5" x14ac:dyDescent="0.25">
      <c r="B77" s="14" t="s">
        <v>174</v>
      </c>
    </row>
  </sheetData>
  <pageMargins left="0.5" right="0.5" top="0.5" bottom="0.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p1_Summary</vt:lpstr>
      <vt:lpstr>p2_MECO Baseline</vt:lpstr>
      <vt:lpstr>p3_MECO Base Rate</vt:lpstr>
      <vt:lpstr>p4_MECO COs</vt:lpstr>
      <vt:lpstr>p5_BOS Baseline</vt:lpstr>
      <vt:lpstr>p6_BOS Base Rate</vt:lpstr>
      <vt:lpstr>p7_BOS COs</vt:lpstr>
      <vt:lpstr>'p2_MECO Baseline'!Print_Area</vt:lpstr>
      <vt:lpstr>'p4_MECO COs'!Print_Area</vt:lpstr>
      <vt:lpstr>'p5_BOS Baseline'!Print_Area</vt:lpstr>
      <vt:lpstr>'p7_BOS COs'!Print_Area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Burns, Terry</dc:creator>
  <cp:lastModifiedBy>Pini, Michael J</cp:lastModifiedBy>
  <cp:lastPrinted>2024-07-22T15:02:02Z</cp:lastPrinted>
  <dcterms:created xsi:type="dcterms:W3CDTF">2022-07-26T20:21:10Z</dcterms:created>
  <dcterms:modified xsi:type="dcterms:W3CDTF">2024-07-25T20:06:21Z</dcterms:modified>
</cp:coreProperties>
</file>