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Regulatory\DPU Files\2024 - DPU\Arrearage Spreadsheet\"/>
    </mc:Choice>
  </mc:AlternateContent>
  <xr:revisionPtr revIDLastSave="0" documentId="13_ncr:1_{FC804F47-B456-4449-BF7B-971D2221D789}" xr6:coauthVersionLast="47" xr6:coauthVersionMax="47" xr10:uidLastSave="{00000000-0000-0000-0000-000000000000}"/>
  <bookViews>
    <workbookView xWindow="-120" yWindow="-120" windowWidth="29040" windowHeight="1584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15" i="2" l="1"/>
  <c r="DJ85" i="6"/>
  <c r="DI85" i="6"/>
  <c r="DJ66" i="6"/>
  <c r="DJ67" i="6"/>
  <c r="DJ71" i="6" s="1"/>
  <c r="DJ68" i="6"/>
  <c r="DJ69" i="6"/>
  <c r="DJ70" i="6"/>
  <c r="DJ64" i="6"/>
  <c r="DJ57" i="6"/>
  <c r="DJ50" i="6"/>
  <c r="DC50" i="6"/>
  <c r="DH134" i="6" l="1"/>
  <c r="DH85" i="6"/>
  <c r="DH64" i="6"/>
  <c r="DH50" i="6"/>
  <c r="DH43" i="6"/>
  <c r="DD85" i="6"/>
  <c r="DB4" i="6"/>
  <c r="DF61" i="6"/>
  <c r="DF60" i="6"/>
  <c r="DF59" i="6"/>
  <c r="DF54" i="6"/>
  <c r="DF53" i="6"/>
  <c r="DF52" i="6"/>
  <c r="DF47" i="6"/>
  <c r="DF46" i="6"/>
  <c r="DF45" i="6"/>
  <c r="DF40" i="6"/>
  <c r="DF39" i="6"/>
  <c r="DF38" i="6"/>
  <c r="DF33" i="6"/>
  <c r="DF32" i="6"/>
  <c r="DF31" i="6"/>
  <c r="DF26" i="6"/>
  <c r="DF25" i="6"/>
  <c r="DF24" i="6"/>
  <c r="DF19" i="6"/>
  <c r="DF18" i="6"/>
  <c r="DF17" i="6"/>
  <c r="BY62" i="2"/>
  <c r="BY61" i="2"/>
  <c r="BY60" i="2"/>
  <c r="BY59" i="2"/>
  <c r="BY55" i="2"/>
  <c r="BY54" i="2"/>
  <c r="BY53" i="2"/>
  <c r="BY52" i="2"/>
  <c r="BY49" i="2"/>
  <c r="BY48" i="2"/>
  <c r="BY47" i="2"/>
  <c r="BY46" i="2"/>
  <c r="BY45" i="2"/>
  <c r="BY41" i="2"/>
  <c r="BY40" i="2"/>
  <c r="BY39" i="2"/>
  <c r="BY38" i="2"/>
  <c r="BY34" i="2"/>
  <c r="BY33" i="2"/>
  <c r="BY32" i="2"/>
  <c r="BY31" i="2"/>
  <c r="BY27" i="2"/>
  <c r="BY26" i="2"/>
  <c r="BY25" i="2"/>
  <c r="BY24" i="2"/>
  <c r="BY20" i="2"/>
  <c r="BY19" i="2"/>
  <c r="BY18" i="2"/>
  <c r="BY17" i="2"/>
  <c r="DF122" i="6"/>
  <c r="DF83" i="6"/>
  <c r="DF82" i="6"/>
  <c r="DF81" i="6"/>
  <c r="DF80" i="6"/>
  <c r="DF76" i="6"/>
  <c r="DF75" i="6"/>
  <c r="DF74" i="6"/>
  <c r="DF73" i="6"/>
  <c r="DF13" i="6"/>
  <c r="DF12" i="6"/>
  <c r="DF11" i="6"/>
  <c r="DF10" i="6"/>
  <c r="BY139" i="2" l="1"/>
  <c r="BY138" i="2"/>
  <c r="BY137" i="2"/>
  <c r="BY136" i="2"/>
  <c r="BY123" i="2"/>
  <c r="BY122" i="2"/>
  <c r="BY84" i="2"/>
  <c r="BY83" i="2"/>
  <c r="BY82" i="2"/>
  <c r="BY81" i="2"/>
  <c r="BY80" i="2"/>
  <c r="BY77" i="2"/>
  <c r="BY76" i="2"/>
  <c r="BY75" i="2"/>
  <c r="BY74" i="2"/>
  <c r="BY73" i="2"/>
  <c r="BY14" i="2"/>
  <c r="BY13" i="2"/>
  <c r="BY12" i="2"/>
  <c r="BY11" i="2"/>
  <c r="BY10" i="2"/>
  <c r="DE64" i="6" l="1"/>
  <c r="DE57" i="6"/>
  <c r="DE50" i="6"/>
  <c r="DE12" i="6" l="1"/>
  <c r="DE13" i="6"/>
  <c r="DE11" i="6"/>
  <c r="DE10" i="6"/>
  <c r="DE15" i="6" s="1"/>
  <c r="DE76" i="6" l="1"/>
  <c r="DE75" i="6"/>
  <c r="DE74" i="6"/>
  <c r="DE73" i="6"/>
  <c r="DE78" i="6" s="1"/>
  <c r="DE83" i="6"/>
  <c r="DE82" i="6"/>
  <c r="DE81" i="6"/>
  <c r="DE80" i="6"/>
  <c r="BX136" i="2" l="1"/>
  <c r="BX84" i="2" l="1"/>
  <c r="BX83" i="2"/>
  <c r="BX82" i="2"/>
  <c r="BX81" i="2"/>
  <c r="BX80" i="2"/>
  <c r="BX77" i="2" l="1"/>
  <c r="BX76" i="2"/>
  <c r="BX75" i="2"/>
  <c r="BX74" i="2"/>
  <c r="BX73" i="2"/>
  <c r="DD78" i="6" l="1"/>
  <c r="DD64" i="6"/>
  <c r="DD57" i="6"/>
  <c r="DD50" i="6"/>
  <c r="DD15" i="6"/>
  <c r="DC83" i="6" l="1"/>
  <c r="DC82" i="6"/>
  <c r="DC81" i="6"/>
  <c r="DC80" i="6"/>
  <c r="DC76" i="6"/>
  <c r="DC75" i="6"/>
  <c r="DC74" i="6"/>
  <c r="DC73" i="6"/>
  <c r="DC66" i="6" l="1"/>
  <c r="DD66" i="6"/>
  <c r="DE66" i="6"/>
  <c r="DF66" i="6"/>
  <c r="DH66" i="6"/>
  <c r="DH71" i="6" s="1"/>
  <c r="DI66" i="6"/>
  <c r="DI71" i="6" s="1"/>
  <c r="DC67" i="6"/>
  <c r="DD67" i="6"/>
  <c r="DE67" i="6"/>
  <c r="DF67" i="6"/>
  <c r="DH67" i="6"/>
  <c r="DI67" i="6"/>
  <c r="DC68" i="6"/>
  <c r="DD68" i="6"/>
  <c r="DE68" i="6"/>
  <c r="DF68" i="6"/>
  <c r="DH68" i="6"/>
  <c r="DI68" i="6"/>
  <c r="DC69" i="6"/>
  <c r="DD69" i="6"/>
  <c r="DE69" i="6"/>
  <c r="DF69" i="6"/>
  <c r="DH69" i="6"/>
  <c r="DI69" i="6"/>
  <c r="DC70" i="6"/>
  <c r="DD70" i="6"/>
  <c r="DE70" i="6"/>
  <c r="DF70" i="6"/>
  <c r="DH70" i="6"/>
  <c r="DI70" i="6"/>
  <c r="DC64" i="6"/>
  <c r="DC57" i="6"/>
  <c r="DC13" i="6"/>
  <c r="DC12" i="6"/>
  <c r="DC11" i="6"/>
  <c r="DC10" i="6"/>
  <c r="DC71" i="6" l="1"/>
  <c r="DF71" i="6"/>
  <c r="DE71" i="6"/>
  <c r="DD71" i="6"/>
  <c r="BV84" i="2"/>
  <c r="BV83" i="2"/>
  <c r="BV82" i="2"/>
  <c r="BV81" i="2"/>
  <c r="BV80" i="2"/>
  <c r="BV76" i="2"/>
  <c r="BV77" i="2"/>
  <c r="BV75" i="2"/>
  <c r="BV74" i="2"/>
  <c r="BV73" i="2"/>
  <c r="BV50" i="2" l="1"/>
  <c r="BV10" i="2" l="1"/>
  <c r="BV14" i="2"/>
  <c r="BV13" i="2"/>
  <c r="BV12" i="2"/>
  <c r="BV11" i="2"/>
  <c r="DB83" i="6" l="1"/>
  <c r="DB82" i="6"/>
  <c r="DB81" i="6"/>
  <c r="DB80" i="6"/>
  <c r="DB85" i="6" s="1"/>
  <c r="DB76" i="6"/>
  <c r="DB75" i="6"/>
  <c r="DB74" i="6"/>
  <c r="DB73" i="6"/>
  <c r="DB12" i="6"/>
  <c r="DB11" i="6"/>
  <c r="DB10" i="6"/>
  <c r="DB19" i="6" l="1"/>
  <c r="DB18" i="6"/>
  <c r="DB17" i="6"/>
  <c r="DB70" i="6"/>
  <c r="DB69" i="6"/>
  <c r="DB61" i="6"/>
  <c r="DB68" i="6" s="1"/>
  <c r="DB60" i="6"/>
  <c r="DB67" i="6" s="1"/>
  <c r="DB59" i="6"/>
  <c r="DB66" i="6" s="1"/>
  <c r="DB50" i="6"/>
  <c r="DB47" i="6"/>
  <c r="DB46" i="6"/>
  <c r="DB45" i="6"/>
  <c r="DB38" i="6"/>
  <c r="DB26" i="6"/>
  <c r="DB25" i="6"/>
  <c r="DB24" i="6"/>
  <c r="BU134" i="2"/>
  <c r="BU84" i="2"/>
  <c r="BU83" i="2"/>
  <c r="BU82" i="2"/>
  <c r="BU81" i="2"/>
  <c r="BU80" i="2"/>
  <c r="BU76" i="2"/>
  <c r="BU77" i="2"/>
  <c r="BU75" i="2"/>
  <c r="BU74" i="2"/>
  <c r="BU73" i="2"/>
  <c r="BU62" i="2" l="1"/>
  <c r="BU61" i="2"/>
  <c r="BU60" i="2"/>
  <c r="BU59" i="2"/>
  <c r="BU55" i="2"/>
  <c r="BU54" i="2"/>
  <c r="BU57" i="2" s="1"/>
  <c r="BU53" i="2"/>
  <c r="BU52" i="2"/>
  <c r="BU48" i="2"/>
  <c r="BU47" i="2"/>
  <c r="BU46" i="2"/>
  <c r="BU45" i="2"/>
  <c r="BU41" i="2"/>
  <c r="BU40" i="2"/>
  <c r="BU39" i="2"/>
  <c r="BU38" i="2"/>
  <c r="BU34" i="2"/>
  <c r="BU33" i="2"/>
  <c r="BU32" i="2"/>
  <c r="BU31" i="2"/>
  <c r="BU26" i="2"/>
  <c r="BU27" i="2"/>
  <c r="BU25" i="2"/>
  <c r="BU24" i="2"/>
  <c r="BU20" i="2"/>
  <c r="BU19" i="2"/>
  <c r="BU22" i="2" s="1"/>
  <c r="BU17" i="2"/>
  <c r="BU18" i="2"/>
  <c r="BU13" i="2" l="1"/>
  <c r="BU12" i="2"/>
  <c r="BU11" i="2"/>
  <c r="BU10" i="2"/>
  <c r="CF120" i="2" l="1"/>
  <c r="DO122" i="6"/>
  <c r="DP122" i="6"/>
  <c r="DQ122" i="6"/>
  <c r="DR122" i="6"/>
  <c r="DS122" i="6"/>
  <c r="DT122" i="6"/>
  <c r="DU122" i="6"/>
  <c r="DV122" i="6"/>
  <c r="DW122" i="6"/>
  <c r="DX122" i="6"/>
  <c r="DY122" i="6"/>
  <c r="DO123" i="6"/>
  <c r="DP123" i="6"/>
  <c r="DQ123" i="6"/>
  <c r="DR123" i="6"/>
  <c r="DS123" i="6"/>
  <c r="DT123" i="6"/>
  <c r="DU123" i="6"/>
  <c r="DV123" i="6"/>
  <c r="DW123" i="6"/>
  <c r="DX123" i="6"/>
  <c r="DY123" i="6"/>
  <c r="DO124" i="6"/>
  <c r="DP124" i="6"/>
  <c r="DQ124" i="6"/>
  <c r="DR124" i="6"/>
  <c r="DS124" i="6"/>
  <c r="DT124" i="6"/>
  <c r="DU124" i="6"/>
  <c r="DV124" i="6"/>
  <c r="DW124" i="6"/>
  <c r="DX124" i="6"/>
  <c r="DY124" i="6"/>
  <c r="DO125" i="6"/>
  <c r="DP125" i="6"/>
  <c r="DQ125" i="6"/>
  <c r="DR125" i="6"/>
  <c r="DS125" i="6"/>
  <c r="DT125" i="6"/>
  <c r="DU125" i="6"/>
  <c r="DV125" i="6"/>
  <c r="DW125" i="6"/>
  <c r="DX125" i="6"/>
  <c r="DY125" i="6"/>
  <c r="DO126" i="6"/>
  <c r="DP126" i="6"/>
  <c r="DQ126" i="6"/>
  <c r="DR126" i="6"/>
  <c r="DS126" i="6"/>
  <c r="DT126" i="6"/>
  <c r="DU126" i="6"/>
  <c r="DV126" i="6"/>
  <c r="DW126" i="6"/>
  <c r="DX126" i="6"/>
  <c r="DY126" i="6"/>
  <c r="DN126" i="6"/>
  <c r="DN125" i="6"/>
  <c r="DN124" i="6"/>
  <c r="DN123" i="6"/>
  <c r="DN122" i="6"/>
  <c r="DO115" i="6"/>
  <c r="DP115" i="6"/>
  <c r="DQ115" i="6"/>
  <c r="DR115" i="6"/>
  <c r="DS115" i="6"/>
  <c r="DT115" i="6"/>
  <c r="DU115" i="6"/>
  <c r="DU120" i="6" s="1"/>
  <c r="DV115" i="6"/>
  <c r="DV120" i="6" s="1"/>
  <c r="DW115" i="6"/>
  <c r="DW120" i="6" s="1"/>
  <c r="DX115" i="6"/>
  <c r="DY115" i="6"/>
  <c r="DY120" i="6" s="1"/>
  <c r="DO116" i="6"/>
  <c r="DP116" i="6"/>
  <c r="DQ116" i="6"/>
  <c r="DR116" i="6"/>
  <c r="DS116" i="6"/>
  <c r="DT116" i="6"/>
  <c r="DU116" i="6"/>
  <c r="DV116" i="6"/>
  <c r="DW116" i="6"/>
  <c r="DX116" i="6"/>
  <c r="DY116" i="6"/>
  <c r="DO117" i="6"/>
  <c r="DP117" i="6"/>
  <c r="DQ117" i="6"/>
  <c r="DR117" i="6"/>
  <c r="DS117" i="6"/>
  <c r="DT117" i="6"/>
  <c r="DU117" i="6"/>
  <c r="DV117" i="6"/>
  <c r="DW117" i="6"/>
  <c r="DX117" i="6"/>
  <c r="DY117" i="6"/>
  <c r="DO118" i="6"/>
  <c r="DP118" i="6"/>
  <c r="DQ118" i="6"/>
  <c r="DR118" i="6"/>
  <c r="DS118" i="6"/>
  <c r="DT118" i="6"/>
  <c r="DU118" i="6"/>
  <c r="DV118" i="6"/>
  <c r="DW118" i="6"/>
  <c r="DX118" i="6"/>
  <c r="DY118" i="6"/>
  <c r="DO119" i="6"/>
  <c r="DP119" i="6"/>
  <c r="DQ119" i="6"/>
  <c r="DR119" i="6"/>
  <c r="DS119" i="6"/>
  <c r="DT119" i="6"/>
  <c r="DU119" i="6"/>
  <c r="DV119" i="6"/>
  <c r="DW119" i="6"/>
  <c r="DX119" i="6"/>
  <c r="DY119" i="6"/>
  <c r="DN119" i="6"/>
  <c r="DN118" i="6"/>
  <c r="DN117" i="6"/>
  <c r="DN116" i="6"/>
  <c r="DN115" i="6"/>
  <c r="DO108" i="6"/>
  <c r="DP108" i="6"/>
  <c r="DQ108" i="6"/>
  <c r="DR108" i="6"/>
  <c r="DS108" i="6"/>
  <c r="DT108" i="6"/>
  <c r="DU108" i="6"/>
  <c r="DV108" i="6"/>
  <c r="DW108" i="6"/>
  <c r="DX108" i="6"/>
  <c r="DY108" i="6"/>
  <c r="DO109" i="6"/>
  <c r="DP109" i="6"/>
  <c r="DQ109" i="6"/>
  <c r="DR109" i="6"/>
  <c r="DS109" i="6"/>
  <c r="DT109" i="6"/>
  <c r="DU109" i="6"/>
  <c r="DV109" i="6"/>
  <c r="DW109" i="6"/>
  <c r="DX109" i="6"/>
  <c r="DY109" i="6"/>
  <c r="DO110" i="6"/>
  <c r="DP110" i="6"/>
  <c r="DQ110" i="6"/>
  <c r="DR110" i="6"/>
  <c r="DS110" i="6"/>
  <c r="DT110" i="6"/>
  <c r="DU110" i="6"/>
  <c r="DV110" i="6"/>
  <c r="DW110" i="6"/>
  <c r="DX110" i="6"/>
  <c r="DY110" i="6"/>
  <c r="DO111" i="6"/>
  <c r="DP111" i="6"/>
  <c r="DQ111" i="6"/>
  <c r="DR111" i="6"/>
  <c r="DS111" i="6"/>
  <c r="DT111" i="6"/>
  <c r="DU111" i="6"/>
  <c r="DV111" i="6"/>
  <c r="DW111" i="6"/>
  <c r="DX111" i="6"/>
  <c r="DY111" i="6"/>
  <c r="DO112" i="6"/>
  <c r="DP112" i="6"/>
  <c r="DQ112" i="6"/>
  <c r="DR112" i="6"/>
  <c r="DS112" i="6"/>
  <c r="DT112" i="6"/>
  <c r="DU112" i="6"/>
  <c r="DV112" i="6"/>
  <c r="DW112" i="6"/>
  <c r="DX112" i="6"/>
  <c r="DY112" i="6"/>
  <c r="DN112" i="6"/>
  <c r="DN111" i="6"/>
  <c r="DN110" i="6"/>
  <c r="DN109" i="6"/>
  <c r="DN108" i="6"/>
  <c r="DO101" i="6"/>
  <c r="DP101" i="6"/>
  <c r="DQ101" i="6"/>
  <c r="DR101" i="6"/>
  <c r="DS101" i="6"/>
  <c r="DT101" i="6"/>
  <c r="DU101" i="6"/>
  <c r="DV101" i="6"/>
  <c r="DW101" i="6"/>
  <c r="DX101" i="6"/>
  <c r="DY101" i="6"/>
  <c r="DO102" i="6"/>
  <c r="DP102" i="6"/>
  <c r="DQ102" i="6"/>
  <c r="DR102" i="6"/>
  <c r="DS102" i="6"/>
  <c r="DT102" i="6"/>
  <c r="DU102" i="6"/>
  <c r="DV102" i="6"/>
  <c r="DW102" i="6"/>
  <c r="DX102" i="6"/>
  <c r="DY102" i="6"/>
  <c r="DO103" i="6"/>
  <c r="DP103" i="6"/>
  <c r="DQ103" i="6"/>
  <c r="DR103" i="6"/>
  <c r="DS103" i="6"/>
  <c r="DT103" i="6"/>
  <c r="DU103" i="6"/>
  <c r="DV103" i="6"/>
  <c r="DW103" i="6"/>
  <c r="DX103" i="6"/>
  <c r="DY103" i="6"/>
  <c r="DO104" i="6"/>
  <c r="DP104" i="6"/>
  <c r="DQ104" i="6"/>
  <c r="DR104" i="6"/>
  <c r="DS104" i="6"/>
  <c r="DT104" i="6"/>
  <c r="DU104" i="6"/>
  <c r="DV104" i="6"/>
  <c r="DW104" i="6"/>
  <c r="DX104" i="6"/>
  <c r="DY104" i="6"/>
  <c r="DO105" i="6"/>
  <c r="DP105" i="6"/>
  <c r="DQ105" i="6"/>
  <c r="DR105" i="6"/>
  <c r="DS105" i="6"/>
  <c r="DT105" i="6"/>
  <c r="DU105" i="6"/>
  <c r="DV105" i="6"/>
  <c r="DW105" i="6"/>
  <c r="DX105" i="6"/>
  <c r="DY105" i="6"/>
  <c r="DN105" i="6"/>
  <c r="DN104" i="6"/>
  <c r="DN103" i="6"/>
  <c r="DN102" i="6"/>
  <c r="DN101" i="6"/>
  <c r="DO94" i="6"/>
  <c r="DO80" i="6"/>
  <c r="DP80" i="6"/>
  <c r="DP94" i="6" s="1"/>
  <c r="DQ80" i="6"/>
  <c r="DR80" i="6"/>
  <c r="DS80" i="6"/>
  <c r="DT80" i="6"/>
  <c r="DU80" i="6"/>
  <c r="DV80" i="6"/>
  <c r="DY80" i="6"/>
  <c r="DO81" i="6"/>
  <c r="DO95" i="6" s="1"/>
  <c r="DR81" i="6"/>
  <c r="DS81" i="6"/>
  <c r="DT81" i="6"/>
  <c r="DU81" i="6"/>
  <c r="DV81" i="6"/>
  <c r="DY81" i="6"/>
  <c r="DO82" i="6"/>
  <c r="DO96" i="6" s="1"/>
  <c r="DP82" i="6"/>
  <c r="DP96" i="6" s="1"/>
  <c r="DQ82" i="6"/>
  <c r="DR82" i="6"/>
  <c r="DS82" i="6"/>
  <c r="DT82" i="6"/>
  <c r="DU82" i="6"/>
  <c r="DV82" i="6"/>
  <c r="DY82" i="6"/>
  <c r="DO83" i="6"/>
  <c r="DO97" i="6" s="1"/>
  <c r="DP83" i="6"/>
  <c r="DP97" i="6" s="1"/>
  <c r="DQ83" i="6"/>
  <c r="DR83" i="6"/>
  <c r="DS83" i="6"/>
  <c r="DT83" i="6"/>
  <c r="DU83" i="6"/>
  <c r="DV83" i="6"/>
  <c r="DY83" i="6"/>
  <c r="DO84" i="6"/>
  <c r="DO98" i="6" s="1"/>
  <c r="DP84" i="6"/>
  <c r="DP98" i="6" s="1"/>
  <c r="DQ84" i="6"/>
  <c r="DR84" i="6"/>
  <c r="DS84" i="6"/>
  <c r="DT84" i="6"/>
  <c r="DU84" i="6"/>
  <c r="DV84" i="6"/>
  <c r="DW84" i="6"/>
  <c r="DX84" i="6"/>
  <c r="DY84" i="6"/>
  <c r="DN84" i="6"/>
  <c r="DN98" i="6" s="1"/>
  <c r="DN83" i="6"/>
  <c r="DN97" i="6" s="1"/>
  <c r="DN82" i="6"/>
  <c r="DN96" i="6" s="1"/>
  <c r="DN81" i="6"/>
  <c r="DN95" i="6" s="1"/>
  <c r="DN80" i="6"/>
  <c r="DN94" i="6" s="1"/>
  <c r="DO73" i="6"/>
  <c r="DP73" i="6"/>
  <c r="DQ73" i="6"/>
  <c r="DR73" i="6"/>
  <c r="DS73" i="6"/>
  <c r="DT73" i="6"/>
  <c r="DU73" i="6"/>
  <c r="DV73" i="6"/>
  <c r="DY73" i="6"/>
  <c r="DO74" i="6"/>
  <c r="DP74" i="6"/>
  <c r="DQ74" i="6"/>
  <c r="DR74" i="6"/>
  <c r="DS74" i="6"/>
  <c r="DT74" i="6"/>
  <c r="DU74" i="6"/>
  <c r="DV74" i="6"/>
  <c r="DY74" i="6"/>
  <c r="DO75" i="6"/>
  <c r="DP75" i="6"/>
  <c r="DQ75" i="6"/>
  <c r="DR75" i="6"/>
  <c r="DS75" i="6"/>
  <c r="DT75" i="6"/>
  <c r="DU75" i="6"/>
  <c r="DV75" i="6"/>
  <c r="DY75" i="6"/>
  <c r="DO76" i="6"/>
  <c r="DP76" i="6"/>
  <c r="DQ76" i="6"/>
  <c r="DR76" i="6"/>
  <c r="DS76" i="6"/>
  <c r="DT76" i="6"/>
  <c r="DU76" i="6"/>
  <c r="DV76" i="6"/>
  <c r="DY76" i="6"/>
  <c r="DO77" i="6"/>
  <c r="DP77" i="6"/>
  <c r="DQ77" i="6"/>
  <c r="DR77" i="6"/>
  <c r="DS77" i="6"/>
  <c r="DT77" i="6"/>
  <c r="DU77" i="6"/>
  <c r="DV77" i="6"/>
  <c r="DW77" i="6"/>
  <c r="DX77" i="6"/>
  <c r="DY77" i="6"/>
  <c r="DN77" i="6"/>
  <c r="DN76" i="6"/>
  <c r="DN75" i="6"/>
  <c r="DN74" i="6"/>
  <c r="DN73" i="6"/>
  <c r="DW66" i="6"/>
  <c r="DY66" i="6"/>
  <c r="DR67" i="6"/>
  <c r="DS67" i="6"/>
  <c r="DT67" i="6"/>
  <c r="DU67" i="6"/>
  <c r="DV67" i="6"/>
  <c r="DW67" i="6"/>
  <c r="DX67" i="6"/>
  <c r="DY67" i="6"/>
  <c r="DR68" i="6"/>
  <c r="DS68" i="6"/>
  <c r="DT68" i="6"/>
  <c r="DU68" i="6"/>
  <c r="DV68" i="6"/>
  <c r="DW68" i="6"/>
  <c r="DY68" i="6"/>
  <c r="DO69" i="6"/>
  <c r="DP69" i="6"/>
  <c r="DQ69" i="6"/>
  <c r="DR69" i="6"/>
  <c r="DS69" i="6"/>
  <c r="DT69" i="6"/>
  <c r="DU69" i="6"/>
  <c r="DV69" i="6"/>
  <c r="DW69" i="6"/>
  <c r="DY69" i="6"/>
  <c r="DO70" i="6"/>
  <c r="DP70" i="6"/>
  <c r="DQ70" i="6"/>
  <c r="DR70" i="6"/>
  <c r="DS70" i="6"/>
  <c r="DT70" i="6"/>
  <c r="DU70" i="6"/>
  <c r="DV70" i="6"/>
  <c r="DW70" i="6"/>
  <c r="DX70" i="6"/>
  <c r="DY70" i="6"/>
  <c r="DN70" i="6"/>
  <c r="DN69" i="6"/>
  <c r="DO59" i="6"/>
  <c r="DP59" i="6"/>
  <c r="DQ59" i="6"/>
  <c r="DR59" i="6"/>
  <c r="DS59" i="6"/>
  <c r="DT59" i="6"/>
  <c r="DU59" i="6"/>
  <c r="DV59" i="6"/>
  <c r="DW59" i="6"/>
  <c r="DX59" i="6"/>
  <c r="DY59" i="6"/>
  <c r="DO60" i="6"/>
  <c r="DP60" i="6"/>
  <c r="DQ60" i="6"/>
  <c r="DR60" i="6"/>
  <c r="DS60" i="6"/>
  <c r="DT60" i="6"/>
  <c r="DU60" i="6"/>
  <c r="DV60" i="6"/>
  <c r="DW60" i="6"/>
  <c r="DX60" i="6"/>
  <c r="DY60" i="6"/>
  <c r="DO61" i="6"/>
  <c r="DP61" i="6"/>
  <c r="DQ61" i="6"/>
  <c r="DR61" i="6"/>
  <c r="DS61" i="6"/>
  <c r="DT61" i="6"/>
  <c r="DU61" i="6"/>
  <c r="DV61" i="6"/>
  <c r="DW61" i="6"/>
  <c r="DX61" i="6"/>
  <c r="DY61" i="6"/>
  <c r="DO62" i="6"/>
  <c r="DP62" i="6"/>
  <c r="DQ62" i="6"/>
  <c r="DR62" i="6"/>
  <c r="DS62" i="6"/>
  <c r="DT62" i="6"/>
  <c r="DU62" i="6"/>
  <c r="DV62" i="6"/>
  <c r="DW62" i="6"/>
  <c r="DX62" i="6"/>
  <c r="DY62" i="6"/>
  <c r="DO63" i="6"/>
  <c r="DP63" i="6"/>
  <c r="DQ63" i="6"/>
  <c r="DR63" i="6"/>
  <c r="DS63" i="6"/>
  <c r="DT63" i="6"/>
  <c r="DU63" i="6"/>
  <c r="DV63" i="6"/>
  <c r="DW63" i="6"/>
  <c r="DX63" i="6"/>
  <c r="DY63" i="6"/>
  <c r="DN63" i="6"/>
  <c r="DN62" i="6"/>
  <c r="DN61" i="6"/>
  <c r="DN60" i="6"/>
  <c r="DN59" i="6"/>
  <c r="DO52" i="6"/>
  <c r="DP52" i="6"/>
  <c r="DQ52" i="6"/>
  <c r="DR52" i="6"/>
  <c r="DS52" i="6"/>
  <c r="DT52" i="6"/>
  <c r="DU52" i="6"/>
  <c r="DV52" i="6"/>
  <c r="DW52" i="6"/>
  <c r="DX52" i="6"/>
  <c r="DY52" i="6"/>
  <c r="DO53" i="6"/>
  <c r="DP53" i="6"/>
  <c r="DQ53" i="6"/>
  <c r="DR53" i="6"/>
  <c r="DS53" i="6"/>
  <c r="DT53" i="6"/>
  <c r="DU53" i="6"/>
  <c r="DV53" i="6"/>
  <c r="DW53" i="6"/>
  <c r="DX53" i="6"/>
  <c r="DY53" i="6"/>
  <c r="DO54" i="6"/>
  <c r="DP54" i="6"/>
  <c r="DQ54" i="6"/>
  <c r="DR54" i="6"/>
  <c r="DS54" i="6"/>
  <c r="DT54" i="6"/>
  <c r="DU54" i="6"/>
  <c r="DV54" i="6"/>
  <c r="DW54" i="6"/>
  <c r="DX54" i="6"/>
  <c r="DY54" i="6"/>
  <c r="DO55" i="6"/>
  <c r="DP55" i="6"/>
  <c r="DQ55" i="6"/>
  <c r="DR55" i="6"/>
  <c r="DS55" i="6"/>
  <c r="DT55" i="6"/>
  <c r="DU55" i="6"/>
  <c r="DV55" i="6"/>
  <c r="DW55" i="6"/>
  <c r="DX55" i="6"/>
  <c r="DY55" i="6"/>
  <c r="DO56" i="6"/>
  <c r="DP56" i="6"/>
  <c r="DQ56" i="6"/>
  <c r="DR56" i="6"/>
  <c r="DS56" i="6"/>
  <c r="DT56" i="6"/>
  <c r="DU56" i="6"/>
  <c r="DV56" i="6"/>
  <c r="DW56" i="6"/>
  <c r="DX56" i="6"/>
  <c r="DY56" i="6"/>
  <c r="DN56" i="6"/>
  <c r="DN55" i="6"/>
  <c r="DN54" i="6"/>
  <c r="DN53" i="6"/>
  <c r="DN52" i="6"/>
  <c r="DO45" i="6"/>
  <c r="DP45" i="6"/>
  <c r="DQ45" i="6"/>
  <c r="DR45" i="6"/>
  <c r="DS45" i="6"/>
  <c r="DT45" i="6"/>
  <c r="DU45" i="6"/>
  <c r="DV45" i="6"/>
  <c r="DW45" i="6"/>
  <c r="DY45" i="6"/>
  <c r="DO46" i="6"/>
  <c r="DP46" i="6"/>
  <c r="DQ46" i="6"/>
  <c r="DR46" i="6"/>
  <c r="DS46" i="6"/>
  <c r="DT46" i="6"/>
  <c r="DU46" i="6"/>
  <c r="DV46" i="6"/>
  <c r="DW46" i="6"/>
  <c r="DX46" i="6"/>
  <c r="DY46" i="6"/>
  <c r="DO47" i="6"/>
  <c r="DP47" i="6"/>
  <c r="DQ47" i="6"/>
  <c r="DR47" i="6"/>
  <c r="DS47" i="6"/>
  <c r="DT47" i="6"/>
  <c r="DU47" i="6"/>
  <c r="DV47" i="6"/>
  <c r="DW47" i="6"/>
  <c r="DY47" i="6"/>
  <c r="DO48" i="6"/>
  <c r="DP48" i="6"/>
  <c r="DQ48" i="6"/>
  <c r="DR48" i="6"/>
  <c r="DS48" i="6"/>
  <c r="DT48" i="6"/>
  <c r="DU48" i="6"/>
  <c r="DV48" i="6"/>
  <c r="DW48" i="6"/>
  <c r="DY48" i="6"/>
  <c r="DO49" i="6"/>
  <c r="DP49" i="6"/>
  <c r="DQ49" i="6"/>
  <c r="DR49" i="6"/>
  <c r="DS49" i="6"/>
  <c r="DT49" i="6"/>
  <c r="DU49" i="6"/>
  <c r="DV49" i="6"/>
  <c r="DW49" i="6"/>
  <c r="DX49" i="6"/>
  <c r="DY49" i="6"/>
  <c r="DN46" i="6"/>
  <c r="DN47" i="6"/>
  <c r="DN48" i="6"/>
  <c r="DN49" i="6"/>
  <c r="DN45" i="6"/>
  <c r="DO38" i="6"/>
  <c r="DP38" i="6"/>
  <c r="DQ38" i="6"/>
  <c r="DR38" i="6"/>
  <c r="DS38" i="6"/>
  <c r="DT38" i="6"/>
  <c r="DU38" i="6"/>
  <c r="DV38" i="6"/>
  <c r="DW38" i="6"/>
  <c r="DX38" i="6"/>
  <c r="DY38" i="6"/>
  <c r="DO39" i="6"/>
  <c r="DP39" i="6"/>
  <c r="DQ39" i="6"/>
  <c r="DR39" i="6"/>
  <c r="DS39" i="6"/>
  <c r="DT39" i="6"/>
  <c r="DU39" i="6"/>
  <c r="DV39" i="6"/>
  <c r="DW39" i="6"/>
  <c r="DX39" i="6"/>
  <c r="DY39" i="6"/>
  <c r="DO40" i="6"/>
  <c r="DP40" i="6"/>
  <c r="DQ40" i="6"/>
  <c r="DR40" i="6"/>
  <c r="DS40" i="6"/>
  <c r="DT40" i="6"/>
  <c r="DU40" i="6"/>
  <c r="DV40" i="6"/>
  <c r="DW40" i="6"/>
  <c r="DX40" i="6"/>
  <c r="DY40" i="6"/>
  <c r="DO41" i="6"/>
  <c r="DP41" i="6"/>
  <c r="DQ41" i="6"/>
  <c r="DR41" i="6"/>
  <c r="DS41" i="6"/>
  <c r="DT41" i="6"/>
  <c r="DU41" i="6"/>
  <c r="DV41" i="6"/>
  <c r="DW41" i="6"/>
  <c r="DX41" i="6"/>
  <c r="DY41" i="6"/>
  <c r="DO42" i="6"/>
  <c r="DP42" i="6"/>
  <c r="DQ42" i="6"/>
  <c r="DR42" i="6"/>
  <c r="DS42" i="6"/>
  <c r="DT42" i="6"/>
  <c r="DU42" i="6"/>
  <c r="DV42" i="6"/>
  <c r="DW42" i="6"/>
  <c r="DX42" i="6"/>
  <c r="DY42" i="6"/>
  <c r="DN42" i="6"/>
  <c r="DN41" i="6"/>
  <c r="DN40" i="6"/>
  <c r="DN39" i="6"/>
  <c r="DN38" i="6"/>
  <c r="DO31" i="6"/>
  <c r="DP31" i="6"/>
  <c r="DQ31" i="6"/>
  <c r="DR31" i="6"/>
  <c r="DS31" i="6"/>
  <c r="DT31" i="6"/>
  <c r="DU31" i="6"/>
  <c r="DV31" i="6"/>
  <c r="DW31" i="6"/>
  <c r="DX31" i="6"/>
  <c r="DY31" i="6"/>
  <c r="DO32" i="6"/>
  <c r="DP32" i="6"/>
  <c r="DQ32" i="6"/>
  <c r="DR32" i="6"/>
  <c r="DS32" i="6"/>
  <c r="DT32" i="6"/>
  <c r="DU32" i="6"/>
  <c r="DV32" i="6"/>
  <c r="DW32" i="6"/>
  <c r="DX32" i="6"/>
  <c r="DY32" i="6"/>
  <c r="DO33" i="6"/>
  <c r="DP33" i="6"/>
  <c r="DQ33" i="6"/>
  <c r="DR33" i="6"/>
  <c r="DS33" i="6"/>
  <c r="DT33" i="6"/>
  <c r="DU33" i="6"/>
  <c r="DV33" i="6"/>
  <c r="DW33" i="6"/>
  <c r="DX33" i="6"/>
  <c r="DY33" i="6"/>
  <c r="DO34" i="6"/>
  <c r="DP34" i="6"/>
  <c r="DQ34" i="6"/>
  <c r="DR34" i="6"/>
  <c r="DS34" i="6"/>
  <c r="DT34" i="6"/>
  <c r="DU34" i="6"/>
  <c r="DV34" i="6"/>
  <c r="DW34" i="6"/>
  <c r="DX34" i="6"/>
  <c r="DY34" i="6"/>
  <c r="DO35" i="6"/>
  <c r="DP35" i="6"/>
  <c r="DQ35" i="6"/>
  <c r="DR35" i="6"/>
  <c r="DS35" i="6"/>
  <c r="DT35" i="6"/>
  <c r="DU35" i="6"/>
  <c r="DV35" i="6"/>
  <c r="DW35" i="6"/>
  <c r="DX35" i="6"/>
  <c r="DY35" i="6"/>
  <c r="DN35" i="6"/>
  <c r="DN34" i="6"/>
  <c r="DN33" i="6"/>
  <c r="DN32" i="6"/>
  <c r="DN31" i="6"/>
  <c r="DO24" i="6"/>
  <c r="DP24" i="6"/>
  <c r="DQ24" i="6"/>
  <c r="DR24" i="6"/>
  <c r="DS24" i="6"/>
  <c r="DT24" i="6"/>
  <c r="DU24" i="6"/>
  <c r="DV24" i="6"/>
  <c r="DW24" i="6"/>
  <c r="DY24" i="6"/>
  <c r="DO25" i="6"/>
  <c r="DP25" i="6"/>
  <c r="DQ25" i="6"/>
  <c r="DR25" i="6"/>
  <c r="DS25" i="6"/>
  <c r="DT25" i="6"/>
  <c r="DU25" i="6"/>
  <c r="DV25" i="6"/>
  <c r="DW25" i="6"/>
  <c r="DX25" i="6"/>
  <c r="DY25" i="6"/>
  <c r="DO26" i="6"/>
  <c r="DP26" i="6"/>
  <c r="DQ26" i="6"/>
  <c r="DR26" i="6"/>
  <c r="DS26" i="6"/>
  <c r="DT26" i="6"/>
  <c r="DU26" i="6"/>
  <c r="DV26" i="6"/>
  <c r="DW26" i="6"/>
  <c r="DY26" i="6"/>
  <c r="DO27" i="6"/>
  <c r="DP27" i="6"/>
  <c r="DQ27" i="6"/>
  <c r="DR27" i="6"/>
  <c r="DS27" i="6"/>
  <c r="DT27" i="6"/>
  <c r="DU27" i="6"/>
  <c r="DV27" i="6"/>
  <c r="DW27" i="6"/>
  <c r="DX27" i="6"/>
  <c r="DY27" i="6"/>
  <c r="DO28" i="6"/>
  <c r="DP28" i="6"/>
  <c r="DQ28" i="6"/>
  <c r="DR28" i="6"/>
  <c r="DS28" i="6"/>
  <c r="DT28" i="6"/>
  <c r="DU28" i="6"/>
  <c r="DV28" i="6"/>
  <c r="DW28" i="6"/>
  <c r="DX28" i="6"/>
  <c r="DY28" i="6"/>
  <c r="DN28" i="6"/>
  <c r="DN27" i="6"/>
  <c r="DN26" i="6"/>
  <c r="DN25" i="6"/>
  <c r="DN24" i="6"/>
  <c r="DO17" i="6"/>
  <c r="DP17" i="6"/>
  <c r="DQ17" i="6"/>
  <c r="DR17" i="6"/>
  <c r="DS17" i="6"/>
  <c r="DT17" i="6"/>
  <c r="DU17" i="6"/>
  <c r="DV17" i="6"/>
  <c r="DW17" i="6"/>
  <c r="DY17" i="6"/>
  <c r="DO18" i="6"/>
  <c r="DP18" i="6"/>
  <c r="DQ18" i="6"/>
  <c r="DR18" i="6"/>
  <c r="DS18" i="6"/>
  <c r="DT18" i="6"/>
  <c r="DU18" i="6"/>
  <c r="DV18" i="6"/>
  <c r="DW18" i="6"/>
  <c r="DX18" i="6"/>
  <c r="DY18" i="6"/>
  <c r="DO19" i="6"/>
  <c r="DP19" i="6"/>
  <c r="DQ19" i="6"/>
  <c r="DR19" i="6"/>
  <c r="DS19" i="6"/>
  <c r="DT19" i="6"/>
  <c r="DU19" i="6"/>
  <c r="DV19" i="6"/>
  <c r="DW19" i="6"/>
  <c r="DY19" i="6"/>
  <c r="DO20" i="6"/>
  <c r="DP20" i="6"/>
  <c r="DQ20" i="6"/>
  <c r="DR20" i="6"/>
  <c r="DS20" i="6"/>
  <c r="DT20" i="6"/>
  <c r="DU20" i="6"/>
  <c r="DV20" i="6"/>
  <c r="DW20" i="6"/>
  <c r="DX20" i="6"/>
  <c r="DY20" i="6"/>
  <c r="DO21" i="6"/>
  <c r="DP21" i="6"/>
  <c r="DQ21" i="6"/>
  <c r="DR21" i="6"/>
  <c r="DS21" i="6"/>
  <c r="DT21" i="6"/>
  <c r="DU21" i="6"/>
  <c r="DV21" i="6"/>
  <c r="DW21" i="6"/>
  <c r="DX21" i="6"/>
  <c r="DY21" i="6"/>
  <c r="DN21" i="6"/>
  <c r="DN20" i="6"/>
  <c r="DN19" i="6"/>
  <c r="DN18" i="6"/>
  <c r="DN17" i="6"/>
  <c r="DO10" i="6"/>
  <c r="DP10" i="6"/>
  <c r="DQ10" i="6"/>
  <c r="DR10" i="6"/>
  <c r="DS10" i="6"/>
  <c r="DT10" i="6"/>
  <c r="DU10" i="6"/>
  <c r="DV10" i="6"/>
  <c r="DY10" i="6"/>
  <c r="DO11" i="6"/>
  <c r="DP11" i="6"/>
  <c r="DQ11" i="6"/>
  <c r="DR11" i="6"/>
  <c r="DS11" i="6"/>
  <c r="DT11" i="6"/>
  <c r="DU11" i="6"/>
  <c r="DV11" i="6"/>
  <c r="DY11" i="6"/>
  <c r="DO12" i="6"/>
  <c r="DP12" i="6"/>
  <c r="DQ12" i="6"/>
  <c r="DR12" i="6"/>
  <c r="DS12" i="6"/>
  <c r="DT12" i="6"/>
  <c r="DU12" i="6"/>
  <c r="DV12" i="6"/>
  <c r="DY12" i="6"/>
  <c r="DO13" i="6"/>
  <c r="DP13" i="6"/>
  <c r="DQ13" i="6"/>
  <c r="DR13" i="6"/>
  <c r="DS13" i="6"/>
  <c r="DT13" i="6"/>
  <c r="DU13" i="6"/>
  <c r="DV13" i="6"/>
  <c r="DY13" i="6"/>
  <c r="DO14" i="6"/>
  <c r="DP14" i="6"/>
  <c r="DQ14" i="6"/>
  <c r="DR14" i="6"/>
  <c r="DS14" i="6"/>
  <c r="DT14" i="6"/>
  <c r="DU14" i="6"/>
  <c r="DV14" i="6"/>
  <c r="DW14" i="6"/>
  <c r="DX14" i="6"/>
  <c r="DY14" i="6"/>
  <c r="DN11" i="6"/>
  <c r="DN12" i="6"/>
  <c r="DN13" i="6"/>
  <c r="DN14" i="6"/>
  <c r="DN10" i="6"/>
  <c r="CG10" i="2"/>
  <c r="CR141" i="2"/>
  <c r="CP141" i="2"/>
  <c r="CL141" i="2"/>
  <c r="CR140" i="2"/>
  <c r="CQ140" i="2"/>
  <c r="CP140" i="2"/>
  <c r="CO140" i="2"/>
  <c r="CN140" i="2"/>
  <c r="CM140" i="2"/>
  <c r="CL140" i="2"/>
  <c r="CK140" i="2"/>
  <c r="CJ140" i="2"/>
  <c r="CI140" i="2"/>
  <c r="CH140" i="2"/>
  <c r="CG140" i="2"/>
  <c r="CR139" i="2"/>
  <c r="CQ139" i="2"/>
  <c r="CP139" i="2"/>
  <c r="CO139" i="2"/>
  <c r="CN139" i="2"/>
  <c r="CM139" i="2"/>
  <c r="CL139" i="2"/>
  <c r="CK139" i="2"/>
  <c r="CJ139" i="2"/>
  <c r="CI139" i="2"/>
  <c r="CH139" i="2"/>
  <c r="CG139" i="2"/>
  <c r="CR138" i="2"/>
  <c r="CQ138" i="2"/>
  <c r="CP138" i="2"/>
  <c r="CO138" i="2"/>
  <c r="CN138" i="2"/>
  <c r="CM138" i="2"/>
  <c r="CL138" i="2"/>
  <c r="CK138" i="2"/>
  <c r="CJ138" i="2"/>
  <c r="CI138" i="2"/>
  <c r="CH138" i="2"/>
  <c r="CG138" i="2"/>
  <c r="CR137" i="2"/>
  <c r="CQ137" i="2"/>
  <c r="CP137" i="2"/>
  <c r="CO137" i="2"/>
  <c r="CN137" i="2"/>
  <c r="CM137" i="2"/>
  <c r="CL137" i="2"/>
  <c r="CK137" i="2"/>
  <c r="CJ137" i="2"/>
  <c r="CI137" i="2"/>
  <c r="CH137" i="2"/>
  <c r="CG137" i="2"/>
  <c r="CR136" i="2"/>
  <c r="CQ136" i="2"/>
  <c r="CP136" i="2"/>
  <c r="CO136" i="2"/>
  <c r="CN136" i="2"/>
  <c r="CM136" i="2"/>
  <c r="CL136" i="2"/>
  <c r="CK136" i="2"/>
  <c r="CJ136" i="2"/>
  <c r="CI136" i="2"/>
  <c r="CH136" i="2"/>
  <c r="CG136" i="2"/>
  <c r="CR134" i="2"/>
  <c r="CP134" i="2"/>
  <c r="CL134" i="2"/>
  <c r="CG134" i="2"/>
  <c r="CR133" i="2"/>
  <c r="CQ133" i="2"/>
  <c r="CP133" i="2"/>
  <c r="CO133" i="2"/>
  <c r="CN133" i="2"/>
  <c r="CM133" i="2"/>
  <c r="CL133" i="2"/>
  <c r="CK133" i="2"/>
  <c r="CJ133" i="2"/>
  <c r="CI133" i="2"/>
  <c r="CH133" i="2"/>
  <c r="CG133" i="2"/>
  <c r="CR132" i="2"/>
  <c r="CQ132" i="2"/>
  <c r="CP132" i="2"/>
  <c r="CO132" i="2"/>
  <c r="CN132" i="2"/>
  <c r="CM132" i="2"/>
  <c r="CL132" i="2"/>
  <c r="CK132" i="2"/>
  <c r="CJ132" i="2"/>
  <c r="CI132" i="2"/>
  <c r="CH132" i="2"/>
  <c r="CG132" i="2"/>
  <c r="CR131" i="2"/>
  <c r="CQ131" i="2"/>
  <c r="CP131" i="2"/>
  <c r="CO131" i="2"/>
  <c r="CN131" i="2"/>
  <c r="CM131" i="2"/>
  <c r="CL131" i="2"/>
  <c r="CK131" i="2"/>
  <c r="CJ131" i="2"/>
  <c r="CI131" i="2"/>
  <c r="CH131" i="2"/>
  <c r="CG131" i="2"/>
  <c r="CR130" i="2"/>
  <c r="CQ130" i="2"/>
  <c r="CP130" i="2"/>
  <c r="CO130" i="2"/>
  <c r="CN130" i="2"/>
  <c r="CM130" i="2"/>
  <c r="CL130" i="2"/>
  <c r="CK130" i="2"/>
  <c r="CJ130" i="2"/>
  <c r="CI130" i="2"/>
  <c r="CH130" i="2"/>
  <c r="CG130" i="2"/>
  <c r="CR129" i="2"/>
  <c r="CQ129" i="2"/>
  <c r="CP129" i="2"/>
  <c r="CO129" i="2"/>
  <c r="CN129" i="2"/>
  <c r="CM129" i="2"/>
  <c r="CL129" i="2"/>
  <c r="CK129" i="2"/>
  <c r="CJ129" i="2"/>
  <c r="CI129" i="2"/>
  <c r="CH129" i="2"/>
  <c r="CG129" i="2"/>
  <c r="CR127" i="2"/>
  <c r="CP127" i="2"/>
  <c r="CL127" i="2"/>
  <c r="CR126" i="2"/>
  <c r="CQ126" i="2"/>
  <c r="CP126" i="2"/>
  <c r="CO126" i="2"/>
  <c r="CN126" i="2"/>
  <c r="CM126" i="2"/>
  <c r="CL126" i="2"/>
  <c r="CK126" i="2"/>
  <c r="CJ126" i="2"/>
  <c r="CI126" i="2"/>
  <c r="CH126" i="2"/>
  <c r="CG126" i="2"/>
  <c r="CR125" i="2"/>
  <c r="CQ125" i="2"/>
  <c r="CP125" i="2"/>
  <c r="CO125" i="2"/>
  <c r="CN125" i="2"/>
  <c r="CM125" i="2"/>
  <c r="CL125" i="2"/>
  <c r="CK125" i="2"/>
  <c r="CJ125" i="2"/>
  <c r="CI125" i="2"/>
  <c r="CH125" i="2"/>
  <c r="CG125" i="2"/>
  <c r="CR124" i="2"/>
  <c r="CQ124" i="2"/>
  <c r="CP124" i="2"/>
  <c r="CO124" i="2"/>
  <c r="CN124" i="2"/>
  <c r="CM124" i="2"/>
  <c r="CL124" i="2"/>
  <c r="CK124" i="2"/>
  <c r="CJ124" i="2"/>
  <c r="CI124" i="2"/>
  <c r="CH124" i="2"/>
  <c r="CG124" i="2"/>
  <c r="CR123" i="2"/>
  <c r="CQ123" i="2"/>
  <c r="CP123" i="2"/>
  <c r="CO123" i="2"/>
  <c r="CN123" i="2"/>
  <c r="CM123" i="2"/>
  <c r="CL123" i="2"/>
  <c r="CK123" i="2"/>
  <c r="CJ123" i="2"/>
  <c r="CI123" i="2"/>
  <c r="CH123" i="2"/>
  <c r="CG123" i="2"/>
  <c r="CR122" i="2"/>
  <c r="CQ122" i="2"/>
  <c r="CP122" i="2"/>
  <c r="CO122" i="2"/>
  <c r="CN122" i="2"/>
  <c r="CM122" i="2"/>
  <c r="CL122" i="2"/>
  <c r="CK122" i="2"/>
  <c r="CJ122" i="2"/>
  <c r="CI122" i="2"/>
  <c r="CH122" i="2"/>
  <c r="CG122" i="2"/>
  <c r="CR120" i="2"/>
  <c r="CR119" i="2"/>
  <c r="CQ119" i="2"/>
  <c r="CP119" i="2"/>
  <c r="CO119" i="2"/>
  <c r="CN119" i="2"/>
  <c r="CM119" i="2"/>
  <c r="CL119" i="2"/>
  <c r="CK119" i="2"/>
  <c r="CJ119" i="2"/>
  <c r="CI119" i="2"/>
  <c r="CH119" i="2"/>
  <c r="CG119" i="2"/>
  <c r="CR118" i="2"/>
  <c r="CQ118" i="2"/>
  <c r="CP118" i="2"/>
  <c r="CO118" i="2"/>
  <c r="CN118" i="2"/>
  <c r="CM118" i="2"/>
  <c r="CL118" i="2"/>
  <c r="CK118" i="2"/>
  <c r="CJ118" i="2"/>
  <c r="CI118" i="2"/>
  <c r="CH118" i="2"/>
  <c r="CG118" i="2"/>
  <c r="CR117" i="2"/>
  <c r="CQ117" i="2"/>
  <c r="CP117" i="2"/>
  <c r="CO117" i="2"/>
  <c r="CN117" i="2"/>
  <c r="CM117" i="2"/>
  <c r="CL117" i="2"/>
  <c r="CK117" i="2"/>
  <c r="CJ117" i="2"/>
  <c r="CI117" i="2"/>
  <c r="CH117" i="2"/>
  <c r="CG117" i="2"/>
  <c r="CR116" i="2"/>
  <c r="CQ116" i="2"/>
  <c r="CP116" i="2"/>
  <c r="CO116" i="2"/>
  <c r="CN116" i="2"/>
  <c r="CM116" i="2"/>
  <c r="CL116" i="2"/>
  <c r="CK116" i="2"/>
  <c r="CJ116" i="2"/>
  <c r="CI116" i="2"/>
  <c r="CH116" i="2"/>
  <c r="CG116" i="2"/>
  <c r="CR115" i="2"/>
  <c r="CQ115" i="2"/>
  <c r="CP115" i="2"/>
  <c r="CO115" i="2"/>
  <c r="CN115" i="2"/>
  <c r="CM115" i="2"/>
  <c r="CL115" i="2"/>
  <c r="CK115" i="2"/>
  <c r="CJ115" i="2"/>
  <c r="CI115" i="2"/>
  <c r="CH115" i="2"/>
  <c r="CG115" i="2"/>
  <c r="CR113" i="2"/>
  <c r="CL113" i="2"/>
  <c r="CR108" i="2"/>
  <c r="CQ108" i="2"/>
  <c r="CP108" i="2"/>
  <c r="CO108" i="2"/>
  <c r="CN108" i="2"/>
  <c r="CM108" i="2"/>
  <c r="CL108" i="2"/>
  <c r="CK108" i="2"/>
  <c r="CJ108" i="2"/>
  <c r="CI108" i="2"/>
  <c r="CH108" i="2"/>
  <c r="CG108" i="2"/>
  <c r="CR106" i="2"/>
  <c r="CL106" i="2"/>
  <c r="CR101" i="2"/>
  <c r="CQ101" i="2"/>
  <c r="CP101" i="2"/>
  <c r="CO101" i="2"/>
  <c r="CN101" i="2"/>
  <c r="CM101" i="2"/>
  <c r="CL101" i="2"/>
  <c r="CK101" i="2"/>
  <c r="CJ101" i="2"/>
  <c r="CI101" i="2"/>
  <c r="CH101" i="2"/>
  <c r="CG101" i="2"/>
  <c r="CR99" i="2"/>
  <c r="CR98" i="2"/>
  <c r="CP98" i="2"/>
  <c r="CL98" i="2"/>
  <c r="CR97" i="2"/>
  <c r="CQ97" i="2"/>
  <c r="CM97" i="2"/>
  <c r="CL97" i="2"/>
  <c r="CR96" i="2"/>
  <c r="CP96" i="2"/>
  <c r="CM96" i="2"/>
  <c r="CL96" i="2"/>
  <c r="CR95" i="2"/>
  <c r="CO95" i="2"/>
  <c r="CM95" i="2"/>
  <c r="CL95" i="2"/>
  <c r="CR94" i="2"/>
  <c r="CL94" i="2"/>
  <c r="CR85" i="2"/>
  <c r="CP85" i="2"/>
  <c r="CL85" i="2"/>
  <c r="CR84" i="2"/>
  <c r="CQ84" i="2"/>
  <c r="CP84" i="2"/>
  <c r="CO84" i="2"/>
  <c r="CN84" i="2"/>
  <c r="CM84" i="2"/>
  <c r="CL84" i="2"/>
  <c r="CK84" i="2"/>
  <c r="CJ84" i="2"/>
  <c r="CI84" i="2"/>
  <c r="CH84" i="2"/>
  <c r="CG84" i="2"/>
  <c r="CR83" i="2"/>
  <c r="CQ83" i="2"/>
  <c r="CP83" i="2"/>
  <c r="CO83" i="2"/>
  <c r="CN83" i="2"/>
  <c r="CM83" i="2"/>
  <c r="CL83" i="2"/>
  <c r="CK83" i="2"/>
  <c r="CJ83" i="2"/>
  <c r="CI83" i="2"/>
  <c r="CH83" i="2"/>
  <c r="CG83" i="2"/>
  <c r="CR82" i="2"/>
  <c r="CQ82" i="2"/>
  <c r="CP82" i="2"/>
  <c r="CO82" i="2"/>
  <c r="CN82" i="2"/>
  <c r="CM82" i="2"/>
  <c r="CL82" i="2"/>
  <c r="CK82" i="2"/>
  <c r="CJ82" i="2"/>
  <c r="CI82" i="2"/>
  <c r="CH82" i="2"/>
  <c r="CG82" i="2"/>
  <c r="CR81" i="2"/>
  <c r="CQ81" i="2"/>
  <c r="CP81" i="2"/>
  <c r="CO81" i="2"/>
  <c r="CN81" i="2"/>
  <c r="CM81" i="2"/>
  <c r="CL81" i="2"/>
  <c r="CK81" i="2"/>
  <c r="CJ81" i="2"/>
  <c r="CI81" i="2"/>
  <c r="CH81" i="2"/>
  <c r="CG81" i="2"/>
  <c r="CR80" i="2"/>
  <c r="CQ80" i="2"/>
  <c r="CP80" i="2"/>
  <c r="CO80" i="2"/>
  <c r="CN80" i="2"/>
  <c r="CM80" i="2"/>
  <c r="CL80" i="2"/>
  <c r="CK80" i="2"/>
  <c r="CJ80" i="2"/>
  <c r="CI80" i="2"/>
  <c r="CH80" i="2"/>
  <c r="CG80" i="2"/>
  <c r="CR78" i="2"/>
  <c r="CP78" i="2"/>
  <c r="CN78" i="2"/>
  <c r="CM78" i="2"/>
  <c r="CL78" i="2"/>
  <c r="CR77" i="2"/>
  <c r="CQ77" i="2"/>
  <c r="CP77" i="2"/>
  <c r="CO77" i="2"/>
  <c r="CN77" i="2"/>
  <c r="CM77" i="2"/>
  <c r="CL77" i="2"/>
  <c r="CK77" i="2"/>
  <c r="CJ77" i="2"/>
  <c r="CI77" i="2"/>
  <c r="CH77" i="2"/>
  <c r="CG77" i="2"/>
  <c r="CR76" i="2"/>
  <c r="CQ76" i="2"/>
  <c r="CP76" i="2"/>
  <c r="CO76" i="2"/>
  <c r="CN76" i="2"/>
  <c r="CM76" i="2"/>
  <c r="CL76" i="2"/>
  <c r="CK76" i="2"/>
  <c r="CJ76" i="2"/>
  <c r="CI76" i="2"/>
  <c r="CH76" i="2"/>
  <c r="CG76" i="2"/>
  <c r="CR75" i="2"/>
  <c r="CQ75" i="2"/>
  <c r="CP75" i="2"/>
  <c r="CO75" i="2"/>
  <c r="CN75" i="2"/>
  <c r="CM75" i="2"/>
  <c r="CL75" i="2"/>
  <c r="CK75" i="2"/>
  <c r="CJ75" i="2"/>
  <c r="CI75" i="2"/>
  <c r="CH75" i="2"/>
  <c r="CG75" i="2"/>
  <c r="CR74" i="2"/>
  <c r="CQ74" i="2"/>
  <c r="CP74" i="2"/>
  <c r="CO74" i="2"/>
  <c r="CN74" i="2"/>
  <c r="CM74" i="2"/>
  <c r="CL74" i="2"/>
  <c r="CK74" i="2"/>
  <c r="CJ74" i="2"/>
  <c r="CI74" i="2"/>
  <c r="CH74" i="2"/>
  <c r="CG74" i="2"/>
  <c r="CR73" i="2"/>
  <c r="CQ73" i="2"/>
  <c r="CP73" i="2"/>
  <c r="CO73" i="2"/>
  <c r="CN73" i="2"/>
  <c r="CM73" i="2"/>
  <c r="CL73" i="2"/>
  <c r="CK73" i="2"/>
  <c r="CJ73" i="2"/>
  <c r="CI73" i="2"/>
  <c r="CH73" i="2"/>
  <c r="CG73" i="2"/>
  <c r="CR64" i="2"/>
  <c r="CL64" i="2"/>
  <c r="CR63" i="2"/>
  <c r="CQ63" i="2"/>
  <c r="CP63" i="2"/>
  <c r="CO63" i="2"/>
  <c r="CN63" i="2"/>
  <c r="CM63" i="2"/>
  <c r="CL63" i="2"/>
  <c r="CK63" i="2"/>
  <c r="CJ63" i="2"/>
  <c r="CI63" i="2"/>
  <c r="CH63" i="2"/>
  <c r="CG63" i="2"/>
  <c r="CR62" i="2"/>
  <c r="CQ62" i="2"/>
  <c r="CP62" i="2"/>
  <c r="CO62" i="2"/>
  <c r="CN62" i="2"/>
  <c r="CM62" i="2"/>
  <c r="CL62" i="2"/>
  <c r="CK62" i="2"/>
  <c r="CJ62" i="2"/>
  <c r="CI62" i="2"/>
  <c r="CH62" i="2"/>
  <c r="CG62" i="2"/>
  <c r="CR61" i="2"/>
  <c r="CQ61" i="2"/>
  <c r="CP61" i="2"/>
  <c r="CO61" i="2"/>
  <c r="CN61" i="2"/>
  <c r="CM61" i="2"/>
  <c r="CL61" i="2"/>
  <c r="CK61" i="2"/>
  <c r="CJ61" i="2"/>
  <c r="CI61" i="2"/>
  <c r="CH61" i="2"/>
  <c r="CG61" i="2"/>
  <c r="CR60" i="2"/>
  <c r="CQ60" i="2"/>
  <c r="CP60" i="2"/>
  <c r="CO60" i="2"/>
  <c r="CN60" i="2"/>
  <c r="CM60" i="2"/>
  <c r="CL60" i="2"/>
  <c r="CK60" i="2"/>
  <c r="CJ60" i="2"/>
  <c r="CI60" i="2"/>
  <c r="CH60" i="2"/>
  <c r="CG60" i="2"/>
  <c r="CR59" i="2"/>
  <c r="CQ59" i="2"/>
  <c r="CP59" i="2"/>
  <c r="CO59" i="2"/>
  <c r="CN59" i="2"/>
  <c r="CM59" i="2"/>
  <c r="CL59" i="2"/>
  <c r="CK59" i="2"/>
  <c r="CJ59" i="2"/>
  <c r="CI59" i="2"/>
  <c r="CH59" i="2"/>
  <c r="CG59" i="2"/>
  <c r="CR57" i="2"/>
  <c r="CL57" i="2"/>
  <c r="CG57" i="2"/>
  <c r="CR56" i="2"/>
  <c r="CQ56" i="2"/>
  <c r="CP56" i="2"/>
  <c r="CO56" i="2"/>
  <c r="CN56" i="2"/>
  <c r="CM56" i="2"/>
  <c r="CL56" i="2"/>
  <c r="CK56" i="2"/>
  <c r="CJ56" i="2"/>
  <c r="CI56" i="2"/>
  <c r="CH56" i="2"/>
  <c r="CG56" i="2"/>
  <c r="CR55" i="2"/>
  <c r="CQ55" i="2"/>
  <c r="CP55" i="2"/>
  <c r="CO55" i="2"/>
  <c r="CN55" i="2"/>
  <c r="CM55" i="2"/>
  <c r="CL55" i="2"/>
  <c r="CK55" i="2"/>
  <c r="CJ55" i="2"/>
  <c r="CI55" i="2"/>
  <c r="CH55" i="2"/>
  <c r="CG55" i="2"/>
  <c r="CR54" i="2"/>
  <c r="CQ54" i="2"/>
  <c r="CP54" i="2"/>
  <c r="CO54" i="2"/>
  <c r="CN54" i="2"/>
  <c r="CM54" i="2"/>
  <c r="CL54" i="2"/>
  <c r="CK54" i="2"/>
  <c r="CJ54" i="2"/>
  <c r="CI54" i="2"/>
  <c r="CH54" i="2"/>
  <c r="CG54" i="2"/>
  <c r="CR53" i="2"/>
  <c r="CQ53" i="2"/>
  <c r="CP53" i="2"/>
  <c r="CO53" i="2"/>
  <c r="CN53" i="2"/>
  <c r="CM53" i="2"/>
  <c r="CL53" i="2"/>
  <c r="CK53" i="2"/>
  <c r="CJ53" i="2"/>
  <c r="CI53" i="2"/>
  <c r="CH53" i="2"/>
  <c r="CG53" i="2"/>
  <c r="CR52" i="2"/>
  <c r="CQ52" i="2"/>
  <c r="CP52" i="2"/>
  <c r="CO52" i="2"/>
  <c r="CN52" i="2"/>
  <c r="CM52" i="2"/>
  <c r="CL52" i="2"/>
  <c r="CK52" i="2"/>
  <c r="CJ52" i="2"/>
  <c r="CI52" i="2"/>
  <c r="CH52" i="2"/>
  <c r="CG52" i="2"/>
  <c r="CR50" i="2"/>
  <c r="CL50" i="2"/>
  <c r="CR49" i="2"/>
  <c r="CR70" i="2" s="1"/>
  <c r="CQ49" i="2"/>
  <c r="CP49" i="2"/>
  <c r="CO49" i="2"/>
  <c r="CO70" i="2" s="1"/>
  <c r="CN49" i="2"/>
  <c r="CM49" i="2"/>
  <c r="CL49" i="2"/>
  <c r="CK49" i="2"/>
  <c r="CJ49" i="2"/>
  <c r="CI49" i="2"/>
  <c r="CH49" i="2"/>
  <c r="CG49" i="2"/>
  <c r="CR48" i="2"/>
  <c r="CR69" i="2" s="1"/>
  <c r="CQ48" i="2"/>
  <c r="CQ69" i="2" s="1"/>
  <c r="CP48" i="2"/>
  <c r="CP69" i="2" s="1"/>
  <c r="CO48" i="2"/>
  <c r="CN48" i="2"/>
  <c r="CN69" i="2" s="1"/>
  <c r="CM48" i="2"/>
  <c r="CL48" i="2"/>
  <c r="CK48" i="2"/>
  <c r="CJ48" i="2"/>
  <c r="CI48" i="2"/>
  <c r="CH48" i="2"/>
  <c r="CG48" i="2"/>
  <c r="CR47" i="2"/>
  <c r="CR68" i="2" s="1"/>
  <c r="CQ47" i="2"/>
  <c r="CP47" i="2"/>
  <c r="CO47" i="2"/>
  <c r="CN47" i="2"/>
  <c r="CM47" i="2"/>
  <c r="CM68" i="2" s="1"/>
  <c r="CL47" i="2"/>
  <c r="CK47" i="2"/>
  <c r="CJ47" i="2"/>
  <c r="CI47" i="2"/>
  <c r="CI68" i="2" s="1"/>
  <c r="CH47" i="2"/>
  <c r="CG47" i="2"/>
  <c r="CR46" i="2"/>
  <c r="CR67" i="2" s="1"/>
  <c r="CQ46" i="2"/>
  <c r="CQ67" i="2" s="1"/>
  <c r="CP46" i="2"/>
  <c r="CP67" i="2" s="1"/>
  <c r="CO46" i="2"/>
  <c r="CN46" i="2"/>
  <c r="CN67" i="2" s="1"/>
  <c r="CM46" i="2"/>
  <c r="CL46" i="2"/>
  <c r="CK46" i="2"/>
  <c r="CJ46" i="2"/>
  <c r="CI46" i="2"/>
  <c r="CH46" i="2"/>
  <c r="CG46" i="2"/>
  <c r="CR45" i="2"/>
  <c r="CR66" i="2" s="1"/>
  <c r="CR71" i="2" s="1"/>
  <c r="CQ45" i="2"/>
  <c r="CQ66" i="2" s="1"/>
  <c r="CP45" i="2"/>
  <c r="CO45" i="2"/>
  <c r="CO66" i="2" s="1"/>
  <c r="CN45" i="2"/>
  <c r="CM45" i="2"/>
  <c r="CM66" i="2" s="1"/>
  <c r="CL45" i="2"/>
  <c r="CK45" i="2"/>
  <c r="CJ45" i="2"/>
  <c r="CI45" i="2"/>
  <c r="CI66" i="2" s="1"/>
  <c r="CH45" i="2"/>
  <c r="CG45" i="2"/>
  <c r="CR43" i="2"/>
  <c r="CQ43" i="2"/>
  <c r="CN43" i="2"/>
  <c r="CL43" i="2"/>
  <c r="CR42" i="2"/>
  <c r="CQ42" i="2"/>
  <c r="CP42" i="2"/>
  <c r="CO42" i="2"/>
  <c r="CN42" i="2"/>
  <c r="CM42" i="2"/>
  <c r="CL42" i="2"/>
  <c r="CK42" i="2"/>
  <c r="CJ42" i="2"/>
  <c r="CI42" i="2"/>
  <c r="CH42" i="2"/>
  <c r="CG42" i="2"/>
  <c r="CR41" i="2"/>
  <c r="CQ41" i="2"/>
  <c r="CP41" i="2"/>
  <c r="CO41" i="2"/>
  <c r="CN41" i="2"/>
  <c r="CM41" i="2"/>
  <c r="CL41" i="2"/>
  <c r="CK41" i="2"/>
  <c r="CJ41" i="2"/>
  <c r="CI41" i="2"/>
  <c r="CH41" i="2"/>
  <c r="CG41" i="2"/>
  <c r="CR40" i="2"/>
  <c r="CQ40" i="2"/>
  <c r="CP40" i="2"/>
  <c r="CO40" i="2"/>
  <c r="CN40" i="2"/>
  <c r="CM40" i="2"/>
  <c r="CL40" i="2"/>
  <c r="CK40" i="2"/>
  <c r="CJ40" i="2"/>
  <c r="CI40" i="2"/>
  <c r="CH40" i="2"/>
  <c r="CG40" i="2"/>
  <c r="CR39" i="2"/>
  <c r="CQ39" i="2"/>
  <c r="CP39" i="2"/>
  <c r="CO39" i="2"/>
  <c r="CN39" i="2"/>
  <c r="CM39" i="2"/>
  <c r="CL39" i="2"/>
  <c r="CK39" i="2"/>
  <c r="CJ39" i="2"/>
  <c r="CI39" i="2"/>
  <c r="CH39" i="2"/>
  <c r="CG39" i="2"/>
  <c r="CR38" i="2"/>
  <c r="CQ38" i="2"/>
  <c r="CP38" i="2"/>
  <c r="CO38" i="2"/>
  <c r="CN38" i="2"/>
  <c r="CM38" i="2"/>
  <c r="CL38" i="2"/>
  <c r="CK38" i="2"/>
  <c r="CJ38" i="2"/>
  <c r="CI38" i="2"/>
  <c r="CH38" i="2"/>
  <c r="CG38" i="2"/>
  <c r="CR36" i="2"/>
  <c r="CL36" i="2"/>
  <c r="CR35" i="2"/>
  <c r="CQ35" i="2"/>
  <c r="CP35" i="2"/>
  <c r="CO35" i="2"/>
  <c r="CN35" i="2"/>
  <c r="CM35" i="2"/>
  <c r="CL35" i="2"/>
  <c r="CK35" i="2"/>
  <c r="CJ35" i="2"/>
  <c r="CI35" i="2"/>
  <c r="CH35" i="2"/>
  <c r="CG35" i="2"/>
  <c r="CR34" i="2"/>
  <c r="CQ34" i="2"/>
  <c r="CP34" i="2"/>
  <c r="CO34" i="2"/>
  <c r="CN34" i="2"/>
  <c r="CM34" i="2"/>
  <c r="CL34" i="2"/>
  <c r="CK34" i="2"/>
  <c r="CJ34" i="2"/>
  <c r="CI34" i="2"/>
  <c r="CH34" i="2"/>
  <c r="CG34" i="2"/>
  <c r="CR33" i="2"/>
  <c r="CQ33" i="2"/>
  <c r="CP33" i="2"/>
  <c r="CO33" i="2"/>
  <c r="CN33" i="2"/>
  <c r="CM33" i="2"/>
  <c r="CL33" i="2"/>
  <c r="CK33" i="2"/>
  <c r="CJ33" i="2"/>
  <c r="CI33" i="2"/>
  <c r="CH33" i="2"/>
  <c r="CG33" i="2"/>
  <c r="CR32" i="2"/>
  <c r="CQ32" i="2"/>
  <c r="CP32" i="2"/>
  <c r="CO32" i="2"/>
  <c r="CN32" i="2"/>
  <c r="CM32" i="2"/>
  <c r="CL32" i="2"/>
  <c r="CK32" i="2"/>
  <c r="CJ32" i="2"/>
  <c r="CI32" i="2"/>
  <c r="CH32" i="2"/>
  <c r="CG32" i="2"/>
  <c r="CR31" i="2"/>
  <c r="CQ31" i="2"/>
  <c r="CP31" i="2"/>
  <c r="CO31" i="2"/>
  <c r="CN31" i="2"/>
  <c r="CM31" i="2"/>
  <c r="CL31" i="2"/>
  <c r="CK31" i="2"/>
  <c r="CJ31" i="2"/>
  <c r="CI31" i="2"/>
  <c r="CH31" i="2"/>
  <c r="CG31" i="2"/>
  <c r="CR29" i="2"/>
  <c r="CL29" i="2"/>
  <c r="CR28" i="2"/>
  <c r="CQ28" i="2"/>
  <c r="CP28" i="2"/>
  <c r="CO28" i="2"/>
  <c r="CN28" i="2"/>
  <c r="CM28" i="2"/>
  <c r="CL28" i="2"/>
  <c r="CK28" i="2"/>
  <c r="CJ28" i="2"/>
  <c r="CI28" i="2"/>
  <c r="CH28" i="2"/>
  <c r="CG28" i="2"/>
  <c r="CR27" i="2"/>
  <c r="CQ27" i="2"/>
  <c r="CP27" i="2"/>
  <c r="CO27" i="2"/>
  <c r="CN27" i="2"/>
  <c r="CM27" i="2"/>
  <c r="CL27" i="2"/>
  <c r="CK27" i="2"/>
  <c r="CJ27" i="2"/>
  <c r="CI27" i="2"/>
  <c r="CH27" i="2"/>
  <c r="CG27" i="2"/>
  <c r="CR26" i="2"/>
  <c r="CQ26" i="2"/>
  <c r="CP26" i="2"/>
  <c r="CO26" i="2"/>
  <c r="CN26" i="2"/>
  <c r="CM26" i="2"/>
  <c r="CL26" i="2"/>
  <c r="CK26" i="2"/>
  <c r="CJ26" i="2"/>
  <c r="CI26" i="2"/>
  <c r="CH26" i="2"/>
  <c r="CG26" i="2"/>
  <c r="CR25" i="2"/>
  <c r="CQ25" i="2"/>
  <c r="CP25" i="2"/>
  <c r="CO25" i="2"/>
  <c r="CN25" i="2"/>
  <c r="CM25" i="2"/>
  <c r="CL25" i="2"/>
  <c r="CK25" i="2"/>
  <c r="CJ25" i="2"/>
  <c r="CI25" i="2"/>
  <c r="CH25" i="2"/>
  <c r="CG25" i="2"/>
  <c r="CR24" i="2"/>
  <c r="CQ24" i="2"/>
  <c r="CP24" i="2"/>
  <c r="CO24" i="2"/>
  <c r="CN24" i="2"/>
  <c r="CM24" i="2"/>
  <c r="CL24" i="2"/>
  <c r="CK24" i="2"/>
  <c r="CJ24" i="2"/>
  <c r="CI24" i="2"/>
  <c r="CH24" i="2"/>
  <c r="CG24" i="2"/>
  <c r="CR22" i="2"/>
  <c r="CQ22" i="2"/>
  <c r="CL22" i="2"/>
  <c r="CR21" i="2"/>
  <c r="CQ21" i="2"/>
  <c r="CP21" i="2"/>
  <c r="CO21" i="2"/>
  <c r="CN21" i="2"/>
  <c r="CM21" i="2"/>
  <c r="CL21" i="2"/>
  <c r="CK21" i="2"/>
  <c r="CJ21" i="2"/>
  <c r="CI21" i="2"/>
  <c r="CH21" i="2"/>
  <c r="CG21" i="2"/>
  <c r="CR20" i="2"/>
  <c r="CQ20" i="2"/>
  <c r="CP20" i="2"/>
  <c r="CO20" i="2"/>
  <c r="CN20" i="2"/>
  <c r="CM20" i="2"/>
  <c r="CL20" i="2"/>
  <c r="CK20" i="2"/>
  <c r="CJ20" i="2"/>
  <c r="CI20" i="2"/>
  <c r="CH20" i="2"/>
  <c r="CG20" i="2"/>
  <c r="CR19" i="2"/>
  <c r="CQ19" i="2"/>
  <c r="CP19" i="2"/>
  <c r="CO19" i="2"/>
  <c r="CN19" i="2"/>
  <c r="CM19" i="2"/>
  <c r="CL19" i="2"/>
  <c r="CK19" i="2"/>
  <c r="CJ19" i="2"/>
  <c r="CI19" i="2"/>
  <c r="CH19" i="2"/>
  <c r="CG19" i="2"/>
  <c r="CR18" i="2"/>
  <c r="CQ18" i="2"/>
  <c r="CP18" i="2"/>
  <c r="CO18" i="2"/>
  <c r="CN18" i="2"/>
  <c r="CM18" i="2"/>
  <c r="CL18" i="2"/>
  <c r="CK18" i="2"/>
  <c r="CJ18" i="2"/>
  <c r="CI18" i="2"/>
  <c r="CH18" i="2"/>
  <c r="CG18" i="2"/>
  <c r="CR17" i="2"/>
  <c r="CQ17" i="2"/>
  <c r="CP17" i="2"/>
  <c r="CO17" i="2"/>
  <c r="CN17" i="2"/>
  <c r="CM17" i="2"/>
  <c r="CL17" i="2"/>
  <c r="CK17" i="2"/>
  <c r="CJ17" i="2"/>
  <c r="CI17" i="2"/>
  <c r="CH17" i="2"/>
  <c r="CG17" i="2"/>
  <c r="CR15" i="2"/>
  <c r="CP15" i="2"/>
  <c r="CN15" i="2"/>
  <c r="CL15" i="2"/>
  <c r="CR14" i="2"/>
  <c r="CQ14" i="2"/>
  <c r="CP14" i="2"/>
  <c r="CO14" i="2"/>
  <c r="CN14" i="2"/>
  <c r="CM14" i="2"/>
  <c r="CL14" i="2"/>
  <c r="CK14" i="2"/>
  <c r="CJ14" i="2"/>
  <c r="CI14" i="2"/>
  <c r="CH14" i="2"/>
  <c r="CG14" i="2"/>
  <c r="CR13" i="2"/>
  <c r="CQ13" i="2"/>
  <c r="CP13" i="2"/>
  <c r="CO13" i="2"/>
  <c r="CN13" i="2"/>
  <c r="CM13" i="2"/>
  <c r="CL13" i="2"/>
  <c r="CK13" i="2"/>
  <c r="CJ13" i="2"/>
  <c r="CI13" i="2"/>
  <c r="CH13" i="2"/>
  <c r="CG13" i="2"/>
  <c r="CR12" i="2"/>
  <c r="CQ12" i="2"/>
  <c r="CP12" i="2"/>
  <c r="CO12" i="2"/>
  <c r="CN12" i="2"/>
  <c r="CM12" i="2"/>
  <c r="CL12" i="2"/>
  <c r="CK12" i="2"/>
  <c r="CJ12" i="2"/>
  <c r="CI12" i="2"/>
  <c r="CH12" i="2"/>
  <c r="CG12" i="2"/>
  <c r="CR11" i="2"/>
  <c r="CQ11" i="2"/>
  <c r="CP11" i="2"/>
  <c r="CO11" i="2"/>
  <c r="CN11" i="2"/>
  <c r="CM11" i="2"/>
  <c r="CL11" i="2"/>
  <c r="CK11" i="2"/>
  <c r="CJ11" i="2"/>
  <c r="CI11" i="2"/>
  <c r="CH11" i="2"/>
  <c r="CG11" i="2"/>
  <c r="CR10" i="2"/>
  <c r="CQ10" i="2"/>
  <c r="CP10" i="2"/>
  <c r="CO10" i="2"/>
  <c r="CN10" i="2"/>
  <c r="CM10" i="2"/>
  <c r="CL10" i="2"/>
  <c r="CK10" i="2"/>
  <c r="CJ10" i="2"/>
  <c r="CI10" i="2"/>
  <c r="CH10" i="2"/>
  <c r="CB106" i="2"/>
  <c r="CN106" i="2" s="1"/>
  <c r="CC106" i="2"/>
  <c r="CO106" i="2" s="1"/>
  <c r="CD106" i="2"/>
  <c r="CP106" i="2" s="1"/>
  <c r="CE106" i="2"/>
  <c r="CQ106" i="2" s="1"/>
  <c r="CF106" i="2"/>
  <c r="CE94" i="2"/>
  <c r="CQ94" i="2" s="1"/>
  <c r="CF94" i="2"/>
  <c r="CE95" i="2"/>
  <c r="CQ95" i="2" s="1"/>
  <c r="CF95" i="2"/>
  <c r="CE96" i="2"/>
  <c r="CE99" i="2" s="1"/>
  <c r="CF96" i="2"/>
  <c r="CF99" i="2" s="1"/>
  <c r="CE97" i="2"/>
  <c r="CF97" i="2"/>
  <c r="CE98" i="2"/>
  <c r="CQ98" i="2" s="1"/>
  <c r="CF98" i="2"/>
  <c r="CA66" i="2"/>
  <c r="CB66" i="2"/>
  <c r="CC66" i="2"/>
  <c r="CD66" i="2"/>
  <c r="CE66" i="2"/>
  <c r="CF66" i="2"/>
  <c r="CF71" i="2" s="1"/>
  <c r="CA67" i="2"/>
  <c r="CB67" i="2"/>
  <c r="CC67" i="2"/>
  <c r="CD67" i="2"/>
  <c r="CE67" i="2"/>
  <c r="CF67" i="2"/>
  <c r="CA68" i="2"/>
  <c r="CB68" i="2"/>
  <c r="CC68" i="2"/>
  <c r="CD68" i="2"/>
  <c r="CE68" i="2"/>
  <c r="CF68" i="2"/>
  <c r="CA69" i="2"/>
  <c r="CB69" i="2"/>
  <c r="CC69" i="2"/>
  <c r="CD69" i="2"/>
  <c r="CE69" i="2"/>
  <c r="CF69" i="2"/>
  <c r="CA70" i="2"/>
  <c r="CB70" i="2"/>
  <c r="CC70" i="2"/>
  <c r="CD70" i="2"/>
  <c r="CE70" i="2"/>
  <c r="CF70" i="2"/>
  <c r="BU15" i="2"/>
  <c r="CG15" i="2" s="1"/>
  <c r="BW15" i="2"/>
  <c r="CI15" i="2" s="1"/>
  <c r="CB15" i="2"/>
  <c r="CC15" i="2"/>
  <c r="CO15" i="2" s="1"/>
  <c r="CE15" i="2"/>
  <c r="CQ15" i="2" s="1"/>
  <c r="CA15" i="2"/>
  <c r="CM15" i="2" s="1"/>
  <c r="BX15" i="2"/>
  <c r="CJ15" i="2" s="1"/>
  <c r="BV15" i="2"/>
  <c r="CH15" i="2" s="1"/>
  <c r="BY15" i="2"/>
  <c r="CK15" i="2" s="1"/>
  <c r="CF15" i="2"/>
  <c r="CF141" i="2"/>
  <c r="CD141" i="2"/>
  <c r="CB141" i="2"/>
  <c r="CN141" i="2" s="1"/>
  <c r="BY141" i="2"/>
  <c r="CK141" i="2" s="1"/>
  <c r="BW141" i="2"/>
  <c r="CI141" i="2" s="1"/>
  <c r="BV141" i="2"/>
  <c r="CH141" i="2" s="1"/>
  <c r="BX141" i="2"/>
  <c r="CJ141" i="2" s="1"/>
  <c r="CE141" i="2"/>
  <c r="CQ141" i="2" s="1"/>
  <c r="CC141" i="2"/>
  <c r="CO141" i="2" s="1"/>
  <c r="CA141" i="2"/>
  <c r="CM141" i="2" s="1"/>
  <c r="BU141" i="2"/>
  <c r="CG141" i="2" s="1"/>
  <c r="CF134" i="2"/>
  <c r="CE134" i="2"/>
  <c r="CQ134" i="2" s="1"/>
  <c r="CD134" i="2"/>
  <c r="CC134" i="2"/>
  <c r="CO134" i="2" s="1"/>
  <c r="CB134" i="2"/>
  <c r="CN134" i="2" s="1"/>
  <c r="CA134" i="2"/>
  <c r="CM134" i="2" s="1"/>
  <c r="BY134" i="2"/>
  <c r="CK134" i="2" s="1"/>
  <c r="BX134" i="2"/>
  <c r="CJ134" i="2" s="1"/>
  <c r="BW134" i="2"/>
  <c r="CI134" i="2" s="1"/>
  <c r="BV134" i="2"/>
  <c r="CH134" i="2" s="1"/>
  <c r="CF127" i="2"/>
  <c r="CE127" i="2"/>
  <c r="CQ127" i="2" s="1"/>
  <c r="CD127" i="2"/>
  <c r="CC127" i="2"/>
  <c r="CO127" i="2" s="1"/>
  <c r="CB127" i="2"/>
  <c r="CN127" i="2" s="1"/>
  <c r="CA127" i="2"/>
  <c r="CM127" i="2" s="1"/>
  <c r="BY127" i="2"/>
  <c r="CK127" i="2" s="1"/>
  <c r="BX127" i="2"/>
  <c r="CJ127" i="2" s="1"/>
  <c r="BW127" i="2"/>
  <c r="CI127" i="2" s="1"/>
  <c r="BV127" i="2"/>
  <c r="CH127" i="2" s="1"/>
  <c r="BU127" i="2"/>
  <c r="CG127" i="2" s="1"/>
  <c r="CF113" i="2"/>
  <c r="CE113" i="2"/>
  <c r="CQ113" i="2" s="1"/>
  <c r="CD113" i="2"/>
  <c r="CP113" i="2" s="1"/>
  <c r="CC113" i="2"/>
  <c r="CO113" i="2" s="1"/>
  <c r="CB113" i="2"/>
  <c r="CN113" i="2" s="1"/>
  <c r="CA113" i="2"/>
  <c r="CM113" i="2" s="1"/>
  <c r="BY113" i="2"/>
  <c r="CK113" i="2" s="1"/>
  <c r="BX113" i="2"/>
  <c r="CJ113" i="2" s="1"/>
  <c r="BW113" i="2"/>
  <c r="CI113" i="2" s="1"/>
  <c r="BV113" i="2"/>
  <c r="CH113" i="2" s="1"/>
  <c r="BU113" i="2"/>
  <c r="CG113" i="2" s="1"/>
  <c r="CA106" i="2"/>
  <c r="CM106" i="2" s="1"/>
  <c r="BY106" i="2"/>
  <c r="CK106" i="2" s="1"/>
  <c r="BX106" i="2"/>
  <c r="CJ106" i="2" s="1"/>
  <c r="BW106" i="2"/>
  <c r="CI106" i="2" s="1"/>
  <c r="BV106" i="2"/>
  <c r="CH106" i="2" s="1"/>
  <c r="BU106" i="2"/>
  <c r="CG106" i="2" s="1"/>
  <c r="CD98" i="2"/>
  <c r="CB98" i="2"/>
  <c r="CN98" i="2" s="1"/>
  <c r="BY98" i="2"/>
  <c r="CK98" i="2" s="1"/>
  <c r="BW98" i="2"/>
  <c r="CI98" i="2" s="1"/>
  <c r="BV98" i="2"/>
  <c r="CH98" i="2" s="1"/>
  <c r="CD97" i="2"/>
  <c r="CP97" i="2" s="1"/>
  <c r="BY97" i="2"/>
  <c r="CK97" i="2" s="1"/>
  <c r="BV97" i="2"/>
  <c r="CH97" i="2" s="1"/>
  <c r="CD96" i="2"/>
  <c r="CB96" i="2"/>
  <c r="CN96" i="2" s="1"/>
  <c r="BY96" i="2"/>
  <c r="CK96" i="2" s="1"/>
  <c r="BY95" i="2"/>
  <c r="CK95" i="2" s="1"/>
  <c r="BW95" i="2"/>
  <c r="CI95" i="2" s="1"/>
  <c r="BU95" i="2"/>
  <c r="CG95" i="2" s="1"/>
  <c r="CB94" i="2"/>
  <c r="CN94" i="2" s="1"/>
  <c r="BY94" i="2"/>
  <c r="CK94" i="2" s="1"/>
  <c r="BW94" i="2"/>
  <c r="CI94" i="2" s="1"/>
  <c r="CF85" i="2"/>
  <c r="CD85" i="2"/>
  <c r="BY85" i="2"/>
  <c r="CK85" i="2" s="1"/>
  <c r="CC98" i="2"/>
  <c r="CO98" i="2" s="1"/>
  <c r="CA98" i="2"/>
  <c r="CM98" i="2" s="1"/>
  <c r="BX98" i="2"/>
  <c r="CJ98" i="2" s="1"/>
  <c r="BU98" i="2"/>
  <c r="CG98" i="2" s="1"/>
  <c r="CC97" i="2"/>
  <c r="CO97" i="2" s="1"/>
  <c r="CB97" i="2"/>
  <c r="CN97" i="2" s="1"/>
  <c r="CA97" i="2"/>
  <c r="BX97" i="2"/>
  <c r="CJ97" i="2" s="1"/>
  <c r="BW97" i="2"/>
  <c r="CI97" i="2" s="1"/>
  <c r="BU97" i="2"/>
  <c r="CG97" i="2" s="1"/>
  <c r="CC96" i="2"/>
  <c r="CO96" i="2" s="1"/>
  <c r="CA96" i="2"/>
  <c r="BX96" i="2"/>
  <c r="CJ96" i="2" s="1"/>
  <c r="BW96" i="2"/>
  <c r="CI96" i="2" s="1"/>
  <c r="BV96" i="2"/>
  <c r="CH96" i="2" s="1"/>
  <c r="BU96" i="2"/>
  <c r="CG96" i="2" s="1"/>
  <c r="CD95" i="2"/>
  <c r="CP95" i="2" s="1"/>
  <c r="CC95" i="2"/>
  <c r="CB85" i="2"/>
  <c r="CN85" i="2" s="1"/>
  <c r="CA95" i="2"/>
  <c r="BX95" i="2"/>
  <c r="CJ95" i="2" s="1"/>
  <c r="BW85" i="2"/>
  <c r="CI85" i="2" s="1"/>
  <c r="BV85" i="2"/>
  <c r="CH85" i="2" s="1"/>
  <c r="CE85" i="2"/>
  <c r="CQ85" i="2" s="1"/>
  <c r="CD94" i="2"/>
  <c r="CP94" i="2" s="1"/>
  <c r="CC94" i="2"/>
  <c r="CO94" i="2" s="1"/>
  <c r="CA85" i="2"/>
  <c r="CM85" i="2" s="1"/>
  <c r="BX94" i="2"/>
  <c r="CJ94" i="2" s="1"/>
  <c r="BV94" i="2"/>
  <c r="CH94" i="2" s="1"/>
  <c r="BU94" i="2"/>
  <c r="CF78" i="2"/>
  <c r="CD78" i="2"/>
  <c r="CB78" i="2"/>
  <c r="BY78" i="2"/>
  <c r="CK78" i="2" s="1"/>
  <c r="BU78" i="2"/>
  <c r="CG78" i="2" s="1"/>
  <c r="CE78" i="2"/>
  <c r="CQ78" i="2" s="1"/>
  <c r="CC78" i="2"/>
  <c r="CO78" i="2" s="1"/>
  <c r="CA78" i="2"/>
  <c r="BX78" i="2"/>
  <c r="CJ78" i="2" s="1"/>
  <c r="BW78" i="2"/>
  <c r="CI78" i="2" s="1"/>
  <c r="BV78" i="2"/>
  <c r="CH78" i="2" s="1"/>
  <c r="BW70" i="2"/>
  <c r="BV70" i="2"/>
  <c r="BU70" i="2"/>
  <c r="BW66" i="2"/>
  <c r="CF64" i="2"/>
  <c r="CD64" i="2"/>
  <c r="CP64" i="2" s="1"/>
  <c r="BX64" i="2"/>
  <c r="CJ64" i="2" s="1"/>
  <c r="BV64" i="2"/>
  <c r="CH64" i="2" s="1"/>
  <c r="CA64" i="2"/>
  <c r="CM64" i="2" s="1"/>
  <c r="BY64" i="2"/>
  <c r="CK64" i="2" s="1"/>
  <c r="CE64" i="2"/>
  <c r="CQ64" i="2" s="1"/>
  <c r="CC64" i="2"/>
  <c r="CO64" i="2" s="1"/>
  <c r="CB64" i="2"/>
  <c r="CN64" i="2" s="1"/>
  <c r="BW64" i="2"/>
  <c r="CI64" i="2" s="1"/>
  <c r="BU64" i="2"/>
  <c r="CG64" i="2" s="1"/>
  <c r="CF57" i="2"/>
  <c r="CE57" i="2"/>
  <c r="CQ57" i="2" s="1"/>
  <c r="CC57" i="2"/>
  <c r="CO57" i="2" s="1"/>
  <c r="BW57" i="2"/>
  <c r="CI57" i="2" s="1"/>
  <c r="BY70" i="2"/>
  <c r="BV68" i="2"/>
  <c r="BX67" i="2"/>
  <c r="BU67" i="2"/>
  <c r="CD57" i="2"/>
  <c r="CP57" i="2" s="1"/>
  <c r="CB57" i="2"/>
  <c r="CN57" i="2" s="1"/>
  <c r="CA57" i="2"/>
  <c r="CM57" i="2" s="1"/>
  <c r="BY57" i="2"/>
  <c r="CK57" i="2" s="1"/>
  <c r="BX57" i="2"/>
  <c r="CJ57" i="2" s="1"/>
  <c r="BV57" i="2"/>
  <c r="CH57" i="2" s="1"/>
  <c r="CF50" i="2"/>
  <c r="BY50" i="2"/>
  <c r="CK50" i="2" s="1"/>
  <c r="BW50" i="2"/>
  <c r="CI50" i="2" s="1"/>
  <c r="BX70" i="2"/>
  <c r="CB50" i="2"/>
  <c r="CN50" i="2" s="1"/>
  <c r="BX69" i="2"/>
  <c r="BW69" i="2"/>
  <c r="BV69" i="2"/>
  <c r="BU69" i="2"/>
  <c r="BX68" i="2"/>
  <c r="BW68" i="2"/>
  <c r="BU68" i="2"/>
  <c r="BW67" i="2"/>
  <c r="BV67" i="2"/>
  <c r="CC50" i="2"/>
  <c r="CO50" i="2" s="1"/>
  <c r="CA50" i="2"/>
  <c r="CM50" i="2" s="1"/>
  <c r="BX66" i="2"/>
  <c r="BV66" i="2"/>
  <c r="BU50" i="2"/>
  <c r="CG50" i="2" s="1"/>
  <c r="CF43" i="2"/>
  <c r="CB43" i="2"/>
  <c r="BX43" i="2"/>
  <c r="CJ43" i="2" s="1"/>
  <c r="BU43" i="2"/>
  <c r="CG43" i="2" s="1"/>
  <c r="CC43" i="2"/>
  <c r="CO43" i="2" s="1"/>
  <c r="CE43" i="2"/>
  <c r="CD43" i="2"/>
  <c r="CP43" i="2" s="1"/>
  <c r="CA43" i="2"/>
  <c r="CM43" i="2" s="1"/>
  <c r="BY43" i="2"/>
  <c r="CK43" i="2" s="1"/>
  <c r="BW43" i="2"/>
  <c r="CI43" i="2" s="1"/>
  <c r="BV43" i="2"/>
  <c r="CH43" i="2" s="1"/>
  <c r="CF36" i="2"/>
  <c r="CD36" i="2"/>
  <c r="CP36" i="2" s="1"/>
  <c r="BY36" i="2"/>
  <c r="CK36" i="2" s="1"/>
  <c r="BV36" i="2"/>
  <c r="CH36" i="2" s="1"/>
  <c r="BX36" i="2"/>
  <c r="CJ36" i="2" s="1"/>
  <c r="CA36" i="2"/>
  <c r="CM36" i="2" s="1"/>
  <c r="CE36" i="2"/>
  <c r="CQ36" i="2" s="1"/>
  <c r="CC36" i="2"/>
  <c r="CO36" i="2" s="1"/>
  <c r="CB36" i="2"/>
  <c r="CN36" i="2" s="1"/>
  <c r="BW36" i="2"/>
  <c r="CI36" i="2" s="1"/>
  <c r="BU36" i="2"/>
  <c r="CG36" i="2" s="1"/>
  <c r="CF29" i="2"/>
  <c r="CE29" i="2"/>
  <c r="CQ29" i="2" s="1"/>
  <c r="BY29" i="2"/>
  <c r="CK29" i="2" s="1"/>
  <c r="BW29" i="2"/>
  <c r="CI29" i="2" s="1"/>
  <c r="CB29" i="2"/>
  <c r="CN29" i="2" s="1"/>
  <c r="CD29" i="2"/>
  <c r="CP29" i="2" s="1"/>
  <c r="CC29" i="2"/>
  <c r="CO29" i="2" s="1"/>
  <c r="CA29" i="2"/>
  <c r="CM29" i="2" s="1"/>
  <c r="BX29" i="2"/>
  <c r="CJ29" i="2" s="1"/>
  <c r="BV29" i="2"/>
  <c r="CH29" i="2" s="1"/>
  <c r="BU29" i="2"/>
  <c r="CG29" i="2" s="1"/>
  <c r="CF22" i="2"/>
  <c r="BV22" i="2"/>
  <c r="CH22" i="2" s="1"/>
  <c r="BX22" i="2"/>
  <c r="CJ22" i="2" s="1"/>
  <c r="CA22" i="2"/>
  <c r="CM22" i="2" s="1"/>
  <c r="CC22" i="2"/>
  <c r="CO22" i="2" s="1"/>
  <c r="CB22" i="2"/>
  <c r="CN22" i="2" s="1"/>
  <c r="CE22" i="2"/>
  <c r="CD22" i="2"/>
  <c r="CP22" i="2" s="1"/>
  <c r="BY22" i="2"/>
  <c r="CK22" i="2" s="1"/>
  <c r="BW22" i="2"/>
  <c r="CI22" i="2" s="1"/>
  <c r="CG22" i="2"/>
  <c r="AU122" i="6"/>
  <c r="AV122" i="6"/>
  <c r="AW122" i="6"/>
  <c r="AX122" i="6"/>
  <c r="AY122" i="6"/>
  <c r="AZ122" i="6"/>
  <c r="BA122" i="6"/>
  <c r="BB122" i="6"/>
  <c r="BC122" i="6"/>
  <c r="BD122" i="6"/>
  <c r="BE122" i="6"/>
  <c r="BE127" i="6" s="1"/>
  <c r="AU123" i="6"/>
  <c r="AV123" i="6"/>
  <c r="AW123" i="6"/>
  <c r="AX123" i="6"/>
  <c r="AY123" i="6"/>
  <c r="AZ123" i="6"/>
  <c r="BA123" i="6"/>
  <c r="BB123" i="6"/>
  <c r="BC123" i="6"/>
  <c r="BD123" i="6"/>
  <c r="BE123" i="6"/>
  <c r="AU124" i="6"/>
  <c r="AU127" i="6" s="1"/>
  <c r="AV124" i="6"/>
  <c r="AW124" i="6"/>
  <c r="AX124" i="6"/>
  <c r="AY124" i="6"/>
  <c r="AZ124" i="6"/>
  <c r="BA124" i="6"/>
  <c r="BB124" i="6"/>
  <c r="BC124" i="6"/>
  <c r="BC127" i="6" s="1"/>
  <c r="BD124" i="6"/>
  <c r="BE124" i="6"/>
  <c r="AU125" i="6"/>
  <c r="AV125" i="6"/>
  <c r="AW125" i="6"/>
  <c r="AX125" i="6"/>
  <c r="AY125" i="6"/>
  <c r="AZ125" i="6"/>
  <c r="BA125" i="6"/>
  <c r="BB125" i="6"/>
  <c r="BC125" i="6"/>
  <c r="BD125" i="6"/>
  <c r="BE125" i="6"/>
  <c r="AU126" i="6"/>
  <c r="AV126" i="6"/>
  <c r="AW126" i="6"/>
  <c r="AX126" i="6"/>
  <c r="AY126" i="6"/>
  <c r="AZ126" i="6"/>
  <c r="BA126" i="6"/>
  <c r="BB126" i="6"/>
  <c r="BC126" i="6"/>
  <c r="BD126" i="6"/>
  <c r="BE126" i="6"/>
  <c r="BB127" i="6"/>
  <c r="AU129" i="6"/>
  <c r="AV129" i="6"/>
  <c r="AW129" i="6"/>
  <c r="AX129" i="6"/>
  <c r="AY129" i="6"/>
  <c r="AZ129" i="6"/>
  <c r="BA129" i="6"/>
  <c r="BB129" i="6"/>
  <c r="BC129" i="6"/>
  <c r="BD129" i="6"/>
  <c r="BE129" i="6"/>
  <c r="AU130" i="6"/>
  <c r="AV130" i="6"/>
  <c r="AW130" i="6"/>
  <c r="AX130" i="6"/>
  <c r="AY130" i="6"/>
  <c r="AZ130" i="6"/>
  <c r="BA130" i="6"/>
  <c r="BB130" i="6"/>
  <c r="BC130" i="6"/>
  <c r="BD130" i="6"/>
  <c r="BE130" i="6"/>
  <c r="AU131" i="6"/>
  <c r="AV131" i="6"/>
  <c r="AW131" i="6"/>
  <c r="AX131" i="6"/>
  <c r="AY131" i="6"/>
  <c r="AZ131" i="6"/>
  <c r="BA131" i="6"/>
  <c r="BB131" i="6"/>
  <c r="BC131" i="6"/>
  <c r="BD131" i="6"/>
  <c r="BE131" i="6"/>
  <c r="AU132" i="6"/>
  <c r="AV132" i="6"/>
  <c r="AW132" i="6"/>
  <c r="AX132" i="6"/>
  <c r="AY132" i="6"/>
  <c r="AZ132" i="6"/>
  <c r="AZ134" i="6" s="1"/>
  <c r="BA132" i="6"/>
  <c r="BB132" i="6"/>
  <c r="BC132" i="6"/>
  <c r="BD132" i="6"/>
  <c r="BE132" i="6"/>
  <c r="AU133" i="6"/>
  <c r="AV133" i="6"/>
  <c r="AW133" i="6"/>
  <c r="AX133" i="6"/>
  <c r="AY133" i="6"/>
  <c r="AZ133" i="6"/>
  <c r="BA133" i="6"/>
  <c r="BB133" i="6"/>
  <c r="BC133" i="6"/>
  <c r="BD133" i="6"/>
  <c r="BE133" i="6"/>
  <c r="AU136" i="6"/>
  <c r="AV136" i="6"/>
  <c r="AW136" i="6"/>
  <c r="AX136" i="6"/>
  <c r="AY136" i="6"/>
  <c r="AZ136" i="6"/>
  <c r="BA136" i="6"/>
  <c r="BB136" i="6"/>
  <c r="BC136" i="6"/>
  <c r="BD136" i="6"/>
  <c r="BE136" i="6"/>
  <c r="BE141" i="6" s="1"/>
  <c r="AU137" i="6"/>
  <c r="AV137" i="6"/>
  <c r="AW137" i="6"/>
  <c r="AX137" i="6"/>
  <c r="AX141" i="6" s="1"/>
  <c r="AY137" i="6"/>
  <c r="AZ137" i="6"/>
  <c r="BA137" i="6"/>
  <c r="BB137" i="6"/>
  <c r="BB141" i="6" s="1"/>
  <c r="BC137" i="6"/>
  <c r="BD137" i="6"/>
  <c r="BE137" i="6"/>
  <c r="AU138" i="6"/>
  <c r="AV138" i="6"/>
  <c r="AW138" i="6"/>
  <c r="AX138" i="6"/>
  <c r="AY138" i="6"/>
  <c r="AY141" i="6" s="1"/>
  <c r="AZ138" i="6"/>
  <c r="BA138" i="6"/>
  <c r="BB138" i="6"/>
  <c r="BC138" i="6"/>
  <c r="BD138" i="6"/>
  <c r="BE138" i="6"/>
  <c r="AU139" i="6"/>
  <c r="AV139" i="6"/>
  <c r="AW139" i="6"/>
  <c r="AX139" i="6"/>
  <c r="AY139" i="6"/>
  <c r="AZ139" i="6"/>
  <c r="BA139" i="6"/>
  <c r="BB139" i="6"/>
  <c r="BC139" i="6"/>
  <c r="BD139" i="6"/>
  <c r="BE139" i="6"/>
  <c r="AU140" i="6"/>
  <c r="AV140" i="6"/>
  <c r="AW140" i="6"/>
  <c r="AX140" i="6"/>
  <c r="AY140" i="6"/>
  <c r="AZ140" i="6"/>
  <c r="BA140" i="6"/>
  <c r="BB140" i="6"/>
  <c r="BC140" i="6"/>
  <c r="BD140" i="6"/>
  <c r="BE140" i="6"/>
  <c r="AT140" i="6"/>
  <c r="AT139" i="6"/>
  <c r="AT138" i="6"/>
  <c r="AT137" i="6"/>
  <c r="AT136" i="6"/>
  <c r="AT133" i="6"/>
  <c r="AT132" i="6"/>
  <c r="AT131" i="6"/>
  <c r="AT130" i="6"/>
  <c r="AT129" i="6"/>
  <c r="AT126" i="6"/>
  <c r="AT125" i="6"/>
  <c r="AT124" i="6"/>
  <c r="AT123" i="6"/>
  <c r="AT122" i="6"/>
  <c r="AU108" i="6"/>
  <c r="AV108" i="6"/>
  <c r="AW108" i="6"/>
  <c r="AX108" i="6"/>
  <c r="AY108" i="6"/>
  <c r="AZ108" i="6"/>
  <c r="BA108" i="6"/>
  <c r="BB108" i="6"/>
  <c r="BC108" i="6"/>
  <c r="BD108" i="6"/>
  <c r="BE108" i="6"/>
  <c r="BE113" i="6" s="1"/>
  <c r="AU109" i="6"/>
  <c r="AV109" i="6"/>
  <c r="AW109" i="6"/>
  <c r="AX109" i="6"/>
  <c r="AY109" i="6"/>
  <c r="AY113" i="6" s="1"/>
  <c r="AZ109" i="6"/>
  <c r="BA109" i="6"/>
  <c r="BB109" i="6"/>
  <c r="BC109" i="6"/>
  <c r="BD109" i="6"/>
  <c r="BE109" i="6"/>
  <c r="AU110" i="6"/>
  <c r="AV110" i="6"/>
  <c r="AW110" i="6"/>
  <c r="AX110" i="6"/>
  <c r="AY110" i="6"/>
  <c r="AZ110" i="6"/>
  <c r="BA110" i="6"/>
  <c r="BB110" i="6"/>
  <c r="BC110" i="6"/>
  <c r="BD110" i="6"/>
  <c r="BE110" i="6"/>
  <c r="AU111" i="6"/>
  <c r="AV111" i="6"/>
  <c r="AW111" i="6"/>
  <c r="AX111" i="6"/>
  <c r="AY111" i="6"/>
  <c r="AZ111" i="6"/>
  <c r="BA111" i="6"/>
  <c r="BB111" i="6"/>
  <c r="BC111" i="6"/>
  <c r="BD111" i="6"/>
  <c r="BE111" i="6"/>
  <c r="AU112" i="6"/>
  <c r="AV112" i="6"/>
  <c r="AW112" i="6"/>
  <c r="AX112" i="6"/>
  <c r="AY112" i="6"/>
  <c r="AZ112" i="6"/>
  <c r="BA112" i="6"/>
  <c r="BB112" i="6"/>
  <c r="BC112" i="6"/>
  <c r="BD112" i="6"/>
  <c r="BD113" i="6" s="1"/>
  <c r="BE112" i="6"/>
  <c r="AT112" i="6"/>
  <c r="AT111" i="6"/>
  <c r="AT110" i="6"/>
  <c r="AT109" i="6"/>
  <c r="AT108" i="6"/>
  <c r="AU115" i="6"/>
  <c r="AV115" i="6"/>
  <c r="AW115" i="6"/>
  <c r="AX115" i="6"/>
  <c r="AY115" i="6"/>
  <c r="AZ115" i="6"/>
  <c r="BA115" i="6"/>
  <c r="BB115" i="6"/>
  <c r="BC115" i="6"/>
  <c r="BD115" i="6"/>
  <c r="BE115" i="6"/>
  <c r="AU116" i="6"/>
  <c r="AV116" i="6"/>
  <c r="AW116" i="6"/>
  <c r="AW120" i="6" s="1"/>
  <c r="AX116" i="6"/>
  <c r="AY116" i="6"/>
  <c r="AZ116" i="6"/>
  <c r="BA116" i="6"/>
  <c r="BB116" i="6"/>
  <c r="BC116" i="6"/>
  <c r="BD116" i="6"/>
  <c r="BE116" i="6"/>
  <c r="BE120" i="6" s="1"/>
  <c r="AU117" i="6"/>
  <c r="AV117" i="6"/>
  <c r="AW117" i="6"/>
  <c r="AX117" i="6"/>
  <c r="AY117" i="6"/>
  <c r="AZ117" i="6"/>
  <c r="BA117" i="6"/>
  <c r="BB117" i="6"/>
  <c r="BC117" i="6"/>
  <c r="BD117" i="6"/>
  <c r="BE117" i="6"/>
  <c r="AU118" i="6"/>
  <c r="AV118" i="6"/>
  <c r="AW118" i="6"/>
  <c r="AX118" i="6"/>
  <c r="AY118" i="6"/>
  <c r="AZ118" i="6"/>
  <c r="BA118" i="6"/>
  <c r="BB118" i="6"/>
  <c r="BC118" i="6"/>
  <c r="BD118" i="6"/>
  <c r="BE118" i="6"/>
  <c r="AU119" i="6"/>
  <c r="AV119" i="6"/>
  <c r="AW119" i="6"/>
  <c r="AX119" i="6"/>
  <c r="AY119" i="6"/>
  <c r="AZ119" i="6"/>
  <c r="AZ120" i="6" s="1"/>
  <c r="BA119" i="6"/>
  <c r="BB119" i="6"/>
  <c r="BC119" i="6"/>
  <c r="BD119" i="6"/>
  <c r="BE119" i="6"/>
  <c r="BC120" i="6"/>
  <c r="AT119" i="6"/>
  <c r="AT118" i="6"/>
  <c r="AT117" i="6"/>
  <c r="AT116" i="6"/>
  <c r="AT120" i="6" s="1"/>
  <c r="AT115" i="6"/>
  <c r="AU101" i="6"/>
  <c r="AV101" i="6"/>
  <c r="AW101" i="6"/>
  <c r="AX101" i="6"/>
  <c r="AY101" i="6"/>
  <c r="AZ101" i="6"/>
  <c r="BA101" i="6"/>
  <c r="BA106" i="6" s="1"/>
  <c r="BB101" i="6"/>
  <c r="BC101" i="6"/>
  <c r="BD101" i="6"/>
  <c r="BE101" i="6"/>
  <c r="BE106" i="6" s="1"/>
  <c r="AU102" i="6"/>
  <c r="AV102" i="6"/>
  <c r="AW102" i="6"/>
  <c r="AX102" i="6"/>
  <c r="AY102" i="6"/>
  <c r="AZ102" i="6"/>
  <c r="BA102" i="6"/>
  <c r="BB102" i="6"/>
  <c r="BB106" i="6" s="1"/>
  <c r="BC102" i="6"/>
  <c r="BD102" i="6"/>
  <c r="BE102" i="6"/>
  <c r="AU103" i="6"/>
  <c r="AU106" i="6" s="1"/>
  <c r="AV103" i="6"/>
  <c r="AW103" i="6"/>
  <c r="AX103" i="6"/>
  <c r="AY103" i="6"/>
  <c r="AY106" i="6" s="1"/>
  <c r="AZ103" i="6"/>
  <c r="BA103" i="6"/>
  <c r="BB103" i="6"/>
  <c r="BC103" i="6"/>
  <c r="BD103" i="6"/>
  <c r="BE103" i="6"/>
  <c r="AU104" i="6"/>
  <c r="AV104" i="6"/>
  <c r="AW104" i="6"/>
  <c r="AX104" i="6"/>
  <c r="AY104" i="6"/>
  <c r="AZ104" i="6"/>
  <c r="BA104" i="6"/>
  <c r="BB104" i="6"/>
  <c r="BC104" i="6"/>
  <c r="BD104" i="6"/>
  <c r="BE104" i="6"/>
  <c r="AU105" i="6"/>
  <c r="AV105" i="6"/>
  <c r="AW105" i="6"/>
  <c r="AX105" i="6"/>
  <c r="AY105" i="6"/>
  <c r="AZ105" i="6"/>
  <c r="BA105" i="6"/>
  <c r="BB105" i="6"/>
  <c r="BC105" i="6"/>
  <c r="BD105" i="6"/>
  <c r="BE105" i="6"/>
  <c r="AZ106" i="6"/>
  <c r="AT105" i="6"/>
  <c r="AT106" i="6" s="1"/>
  <c r="AT104" i="6"/>
  <c r="AT103" i="6"/>
  <c r="AT102" i="6"/>
  <c r="AT101" i="6"/>
  <c r="AU80" i="6"/>
  <c r="AV80" i="6"/>
  <c r="AW80" i="6"/>
  <c r="AX80" i="6"/>
  <c r="AY80" i="6"/>
  <c r="AZ80" i="6"/>
  <c r="BA80" i="6"/>
  <c r="BA94" i="6" s="1"/>
  <c r="BB80" i="6"/>
  <c r="BB94" i="6" s="1"/>
  <c r="BC80" i="6"/>
  <c r="BD80" i="6"/>
  <c r="BE80" i="6"/>
  <c r="AU81" i="6"/>
  <c r="AV81" i="6"/>
  <c r="AW81" i="6"/>
  <c r="AX81" i="6"/>
  <c r="AX95" i="6" s="1"/>
  <c r="AY81" i="6"/>
  <c r="AY95" i="6" s="1"/>
  <c r="AZ81" i="6"/>
  <c r="BA81" i="6"/>
  <c r="BB81" i="6"/>
  <c r="BC81" i="6"/>
  <c r="BC95" i="6" s="1"/>
  <c r="BD81" i="6"/>
  <c r="BE81" i="6"/>
  <c r="AU82" i="6"/>
  <c r="AU96" i="6" s="1"/>
  <c r="AV82" i="6"/>
  <c r="AW82" i="6"/>
  <c r="AX82" i="6"/>
  <c r="AY82" i="6"/>
  <c r="AZ82" i="6"/>
  <c r="BA82" i="6"/>
  <c r="BB82" i="6"/>
  <c r="BB96" i="6" s="1"/>
  <c r="BC82" i="6"/>
  <c r="BC96" i="6" s="1"/>
  <c r="BD82" i="6"/>
  <c r="BD96" i="6" s="1"/>
  <c r="BE82" i="6"/>
  <c r="AU83" i="6"/>
  <c r="AV83" i="6"/>
  <c r="AW83" i="6"/>
  <c r="AX83" i="6"/>
  <c r="AY83" i="6"/>
  <c r="AZ83" i="6"/>
  <c r="AZ97" i="6" s="1"/>
  <c r="BA83" i="6"/>
  <c r="BB83" i="6"/>
  <c r="BC83" i="6"/>
  <c r="BD83" i="6"/>
  <c r="BE83" i="6"/>
  <c r="BE97" i="6" s="1"/>
  <c r="AU84" i="6"/>
  <c r="AV84" i="6"/>
  <c r="AW84" i="6"/>
  <c r="AX84" i="6"/>
  <c r="AX98" i="6" s="1"/>
  <c r="AY84" i="6"/>
  <c r="AY98" i="6" s="1"/>
  <c r="AZ84" i="6"/>
  <c r="BA84" i="6"/>
  <c r="BA98" i="6" s="1"/>
  <c r="BB84" i="6"/>
  <c r="BC84" i="6"/>
  <c r="BD84" i="6"/>
  <c r="BE84" i="6"/>
  <c r="BE98" i="6" s="1"/>
  <c r="AW95" i="6"/>
  <c r="AY97" i="6"/>
  <c r="AZ94" i="6"/>
  <c r="BE95" i="6"/>
  <c r="AV96" i="6"/>
  <c r="AV98" i="6"/>
  <c r="BD98" i="6"/>
  <c r="AT84" i="6"/>
  <c r="AT83" i="6"/>
  <c r="AT97" i="6" s="1"/>
  <c r="AT82" i="6"/>
  <c r="AT81" i="6"/>
  <c r="AT80" i="6"/>
  <c r="AU73" i="6"/>
  <c r="AV73" i="6"/>
  <c r="AW73" i="6"/>
  <c r="AX73" i="6"/>
  <c r="AY73" i="6"/>
  <c r="AY78" i="6" s="1"/>
  <c r="AZ73" i="6"/>
  <c r="BA73" i="6"/>
  <c r="BB73" i="6"/>
  <c r="BC73" i="6"/>
  <c r="BC78" i="6" s="1"/>
  <c r="BD73" i="6"/>
  <c r="BE73" i="6"/>
  <c r="AU74" i="6"/>
  <c r="AV74" i="6"/>
  <c r="AW74" i="6"/>
  <c r="AX74" i="6"/>
  <c r="AY74" i="6"/>
  <c r="AZ74" i="6"/>
  <c r="BA74" i="6"/>
  <c r="BB74" i="6"/>
  <c r="BC74" i="6"/>
  <c r="BD74" i="6"/>
  <c r="BE74" i="6"/>
  <c r="AU75" i="6"/>
  <c r="AV75" i="6"/>
  <c r="AW75" i="6"/>
  <c r="AX75" i="6"/>
  <c r="AY75" i="6"/>
  <c r="AZ75" i="6"/>
  <c r="BA75" i="6"/>
  <c r="BB75" i="6"/>
  <c r="BC75" i="6"/>
  <c r="BD75" i="6"/>
  <c r="BE75" i="6"/>
  <c r="AU76" i="6"/>
  <c r="AV76" i="6"/>
  <c r="AW76" i="6"/>
  <c r="AX76" i="6"/>
  <c r="AY76" i="6"/>
  <c r="AZ76" i="6"/>
  <c r="BA76" i="6"/>
  <c r="BB76" i="6"/>
  <c r="BC76" i="6"/>
  <c r="BD76" i="6"/>
  <c r="BE76" i="6"/>
  <c r="AU77" i="6"/>
  <c r="AV77" i="6"/>
  <c r="AW77" i="6"/>
  <c r="AX77" i="6"/>
  <c r="AY77" i="6"/>
  <c r="AZ77" i="6"/>
  <c r="BA77" i="6"/>
  <c r="BB77" i="6"/>
  <c r="BC77" i="6"/>
  <c r="BD77" i="6"/>
  <c r="BE77" i="6"/>
  <c r="AV78" i="6"/>
  <c r="AT77" i="6"/>
  <c r="AT76" i="6"/>
  <c r="AT75" i="6"/>
  <c r="AT74" i="6"/>
  <c r="AT73" i="6"/>
  <c r="AU66" i="6"/>
  <c r="AV66" i="6"/>
  <c r="AW66" i="6"/>
  <c r="AX66" i="6"/>
  <c r="AZ66" i="6"/>
  <c r="BA66" i="6"/>
  <c r="BB66" i="6"/>
  <c r="BC66" i="6"/>
  <c r="BD66" i="6"/>
  <c r="BE66" i="6"/>
  <c r="AU67" i="6"/>
  <c r="AV67" i="6"/>
  <c r="AW67" i="6"/>
  <c r="AX67" i="6"/>
  <c r="AZ67" i="6"/>
  <c r="BA67" i="6"/>
  <c r="BB67" i="6"/>
  <c r="BC67" i="6"/>
  <c r="BD67" i="6"/>
  <c r="BE67" i="6"/>
  <c r="BE71" i="6" s="1"/>
  <c r="AU68" i="6"/>
  <c r="AV68" i="6"/>
  <c r="AW68" i="6"/>
  <c r="AX68" i="6"/>
  <c r="AZ68" i="6"/>
  <c r="BA68" i="6"/>
  <c r="BB68" i="6"/>
  <c r="BC68" i="6"/>
  <c r="BD68" i="6"/>
  <c r="BE68" i="6"/>
  <c r="AU69" i="6"/>
  <c r="AV69" i="6"/>
  <c r="AW69" i="6"/>
  <c r="AX69" i="6"/>
  <c r="AY69" i="6"/>
  <c r="AZ69" i="6"/>
  <c r="BA69" i="6"/>
  <c r="BB69" i="6"/>
  <c r="BC69" i="6"/>
  <c r="BD69" i="6"/>
  <c r="BE69" i="6"/>
  <c r="AU70" i="6"/>
  <c r="AV70" i="6"/>
  <c r="AW70" i="6"/>
  <c r="AX70" i="6"/>
  <c r="AY70" i="6"/>
  <c r="AZ70" i="6"/>
  <c r="BA70" i="6"/>
  <c r="BB70" i="6"/>
  <c r="BC70" i="6"/>
  <c r="BD70" i="6"/>
  <c r="BE70" i="6"/>
  <c r="AT70" i="6"/>
  <c r="AT69" i="6"/>
  <c r="AT68" i="6"/>
  <c r="AT67" i="6"/>
  <c r="AT66" i="6"/>
  <c r="AU59" i="6"/>
  <c r="AV59" i="6"/>
  <c r="AV64" i="6" s="1"/>
  <c r="AW59" i="6"/>
  <c r="AX59" i="6"/>
  <c r="AY59" i="6"/>
  <c r="AZ59" i="6"/>
  <c r="AZ64" i="6" s="1"/>
  <c r="BA59" i="6"/>
  <c r="BB59" i="6"/>
  <c r="BC59" i="6"/>
  <c r="BD59" i="6"/>
  <c r="BE59" i="6"/>
  <c r="AU60" i="6"/>
  <c r="AV60" i="6"/>
  <c r="AW60" i="6"/>
  <c r="AX60" i="6"/>
  <c r="AY60" i="6"/>
  <c r="AZ60" i="6"/>
  <c r="BA60" i="6"/>
  <c r="BB60" i="6"/>
  <c r="BC60" i="6"/>
  <c r="BD60" i="6"/>
  <c r="BE60" i="6"/>
  <c r="BE64" i="6" s="1"/>
  <c r="AU61" i="6"/>
  <c r="AV61" i="6"/>
  <c r="AW61" i="6"/>
  <c r="AX61" i="6"/>
  <c r="AY61" i="6"/>
  <c r="AZ61" i="6"/>
  <c r="BA61" i="6"/>
  <c r="BB61" i="6"/>
  <c r="BC61" i="6"/>
  <c r="BD61" i="6"/>
  <c r="BE61" i="6"/>
  <c r="AU62" i="6"/>
  <c r="AV62" i="6"/>
  <c r="AW62" i="6"/>
  <c r="AX62" i="6"/>
  <c r="AY62" i="6"/>
  <c r="AZ62" i="6"/>
  <c r="BA62" i="6"/>
  <c r="BB62" i="6"/>
  <c r="BC62" i="6"/>
  <c r="BD62" i="6"/>
  <c r="BE62" i="6"/>
  <c r="AU63" i="6"/>
  <c r="AV63" i="6"/>
  <c r="AW63" i="6"/>
  <c r="AX63" i="6"/>
  <c r="AY63" i="6"/>
  <c r="AZ63" i="6"/>
  <c r="BA63" i="6"/>
  <c r="BB63" i="6"/>
  <c r="BC63" i="6"/>
  <c r="BD63" i="6"/>
  <c r="BE63" i="6"/>
  <c r="AU64" i="6"/>
  <c r="AT63" i="6"/>
  <c r="AT62" i="6"/>
  <c r="AT61" i="6"/>
  <c r="AT60" i="6"/>
  <c r="AT59" i="6"/>
  <c r="AU52" i="6"/>
  <c r="AV52" i="6"/>
  <c r="AW52" i="6"/>
  <c r="AX52" i="6"/>
  <c r="AY52" i="6"/>
  <c r="AZ52" i="6"/>
  <c r="BA52" i="6"/>
  <c r="BB52" i="6"/>
  <c r="BC52" i="6"/>
  <c r="BD52" i="6"/>
  <c r="BE52" i="6"/>
  <c r="AU53" i="6"/>
  <c r="AV53" i="6"/>
  <c r="AW53" i="6"/>
  <c r="AX53" i="6"/>
  <c r="AY53" i="6"/>
  <c r="AZ53" i="6"/>
  <c r="BA53" i="6"/>
  <c r="BB53" i="6"/>
  <c r="BB57" i="6" s="1"/>
  <c r="BC53" i="6"/>
  <c r="BD53" i="6"/>
  <c r="BE53" i="6"/>
  <c r="AU54" i="6"/>
  <c r="AU57" i="6" s="1"/>
  <c r="AV54" i="6"/>
  <c r="AW54" i="6"/>
  <c r="AX54" i="6"/>
  <c r="AY54" i="6"/>
  <c r="AY57" i="6" s="1"/>
  <c r="AZ54" i="6"/>
  <c r="BA54" i="6"/>
  <c r="BB54" i="6"/>
  <c r="BC54" i="6"/>
  <c r="BC57" i="6" s="1"/>
  <c r="BD54" i="6"/>
  <c r="BE54" i="6"/>
  <c r="AU55" i="6"/>
  <c r="AV55" i="6"/>
  <c r="AW55" i="6"/>
  <c r="AX55" i="6"/>
  <c r="AY55" i="6"/>
  <c r="AZ55" i="6"/>
  <c r="AZ57" i="6" s="1"/>
  <c r="BA55" i="6"/>
  <c r="BB55" i="6"/>
  <c r="BC55" i="6"/>
  <c r="BD55" i="6"/>
  <c r="BE55" i="6"/>
  <c r="AU56" i="6"/>
  <c r="AV56" i="6"/>
  <c r="AW56" i="6"/>
  <c r="AX56" i="6"/>
  <c r="AY56" i="6"/>
  <c r="AZ56" i="6"/>
  <c r="BA56" i="6"/>
  <c r="BB56" i="6"/>
  <c r="BC56" i="6"/>
  <c r="BD56" i="6"/>
  <c r="BE56" i="6"/>
  <c r="AT56" i="6"/>
  <c r="AT55" i="6"/>
  <c r="AT54" i="6"/>
  <c r="AT53" i="6"/>
  <c r="AT52" i="6"/>
  <c r="AU45" i="6"/>
  <c r="AV45" i="6"/>
  <c r="AW45" i="6"/>
  <c r="AX45" i="6"/>
  <c r="AY45" i="6"/>
  <c r="AZ45" i="6"/>
  <c r="BA45" i="6"/>
  <c r="BB45" i="6"/>
  <c r="BC45" i="6"/>
  <c r="BD45" i="6"/>
  <c r="BD50" i="6" s="1"/>
  <c r="BE45" i="6"/>
  <c r="AU46" i="6"/>
  <c r="AV46" i="6"/>
  <c r="AW46" i="6"/>
  <c r="AW50" i="6" s="1"/>
  <c r="AX46" i="6"/>
  <c r="AY46" i="6"/>
  <c r="AZ46" i="6"/>
  <c r="BA46" i="6"/>
  <c r="BB46" i="6"/>
  <c r="BC46" i="6"/>
  <c r="BD46" i="6"/>
  <c r="BE46" i="6"/>
  <c r="BE50" i="6" s="1"/>
  <c r="AU47" i="6"/>
  <c r="AV47" i="6"/>
  <c r="AW47" i="6"/>
  <c r="AX47" i="6"/>
  <c r="AY47" i="6"/>
  <c r="AZ47" i="6"/>
  <c r="BA47" i="6"/>
  <c r="BB47" i="6"/>
  <c r="BB50" i="6" s="1"/>
  <c r="BC47" i="6"/>
  <c r="BD47" i="6"/>
  <c r="BE47" i="6"/>
  <c r="AU48" i="6"/>
  <c r="AU50" i="6" s="1"/>
  <c r="AV48" i="6"/>
  <c r="AW48" i="6"/>
  <c r="AX48" i="6"/>
  <c r="AY48" i="6"/>
  <c r="AY50" i="6" s="1"/>
  <c r="AZ48" i="6"/>
  <c r="BA48" i="6"/>
  <c r="BB48" i="6"/>
  <c r="BC48" i="6"/>
  <c r="BD48" i="6"/>
  <c r="BE48" i="6"/>
  <c r="AU49" i="6"/>
  <c r="AV49" i="6"/>
  <c r="AW49" i="6"/>
  <c r="AX49" i="6"/>
  <c r="AY49" i="6"/>
  <c r="AZ49" i="6"/>
  <c r="BA49" i="6"/>
  <c r="BB49" i="6"/>
  <c r="BC49" i="6"/>
  <c r="BD49" i="6"/>
  <c r="BE49" i="6"/>
  <c r="AT46" i="6"/>
  <c r="AT47" i="6"/>
  <c r="AT48" i="6"/>
  <c r="AT49" i="6"/>
  <c r="AT45" i="6"/>
  <c r="AU38" i="6"/>
  <c r="AV38" i="6"/>
  <c r="AW38" i="6"/>
  <c r="AX38" i="6"/>
  <c r="AY38" i="6"/>
  <c r="AZ38" i="6"/>
  <c r="BA38" i="6"/>
  <c r="BB38" i="6"/>
  <c r="BC38" i="6"/>
  <c r="BD38" i="6"/>
  <c r="BE38" i="6"/>
  <c r="AU39" i="6"/>
  <c r="AV39" i="6"/>
  <c r="AV43" i="6" s="1"/>
  <c r="AW39" i="6"/>
  <c r="AX39" i="6"/>
  <c r="AY39" i="6"/>
  <c r="AZ39" i="6"/>
  <c r="BA39" i="6"/>
  <c r="BB39" i="6"/>
  <c r="BC39" i="6"/>
  <c r="BD39" i="6"/>
  <c r="BD43" i="6" s="1"/>
  <c r="BE39" i="6"/>
  <c r="AU40" i="6"/>
  <c r="AV40" i="6"/>
  <c r="AW40" i="6"/>
  <c r="AX40" i="6"/>
  <c r="AY40" i="6"/>
  <c r="AZ40" i="6"/>
  <c r="BA40" i="6"/>
  <c r="BB40" i="6"/>
  <c r="BC40" i="6"/>
  <c r="BD40" i="6"/>
  <c r="BE40" i="6"/>
  <c r="AU41" i="6"/>
  <c r="AV41" i="6"/>
  <c r="AW41" i="6"/>
  <c r="AX41" i="6"/>
  <c r="AY41" i="6"/>
  <c r="AZ41" i="6"/>
  <c r="BA41" i="6"/>
  <c r="BB41" i="6"/>
  <c r="BC41" i="6"/>
  <c r="BD41" i="6"/>
  <c r="BE41" i="6"/>
  <c r="AU42" i="6"/>
  <c r="AV42" i="6"/>
  <c r="AW42" i="6"/>
  <c r="AX42" i="6"/>
  <c r="AY42" i="6"/>
  <c r="AZ42" i="6"/>
  <c r="BA42" i="6"/>
  <c r="BB42" i="6"/>
  <c r="BC42" i="6"/>
  <c r="BD42" i="6"/>
  <c r="BE42" i="6"/>
  <c r="BB43" i="6"/>
  <c r="AT42" i="6"/>
  <c r="AT41" i="6"/>
  <c r="AT40" i="6"/>
  <c r="AT39" i="6"/>
  <c r="AT38" i="6"/>
  <c r="AU31" i="6"/>
  <c r="AV31" i="6"/>
  <c r="AW31" i="6"/>
  <c r="AX31" i="6"/>
  <c r="AY31" i="6"/>
  <c r="AZ31" i="6"/>
  <c r="AZ36" i="6" s="1"/>
  <c r="BA31" i="6"/>
  <c r="BB31" i="6"/>
  <c r="BC31" i="6"/>
  <c r="BD31" i="6"/>
  <c r="BE31" i="6"/>
  <c r="AU32" i="6"/>
  <c r="AV32" i="6"/>
  <c r="AW32" i="6"/>
  <c r="AX32" i="6"/>
  <c r="AY32" i="6"/>
  <c r="AZ32" i="6"/>
  <c r="BA32" i="6"/>
  <c r="BB32" i="6"/>
  <c r="BC32" i="6"/>
  <c r="BD32" i="6"/>
  <c r="BE32" i="6"/>
  <c r="BE36" i="6" s="1"/>
  <c r="AU33" i="6"/>
  <c r="AV33" i="6"/>
  <c r="AW33" i="6"/>
  <c r="AX33" i="6"/>
  <c r="AY33" i="6"/>
  <c r="AZ33" i="6"/>
  <c r="BA33" i="6"/>
  <c r="BB33" i="6"/>
  <c r="BC33" i="6"/>
  <c r="BD33" i="6"/>
  <c r="BE33" i="6"/>
  <c r="AU34" i="6"/>
  <c r="AV34" i="6"/>
  <c r="AW34" i="6"/>
  <c r="AX34" i="6"/>
  <c r="AY34" i="6"/>
  <c r="AZ34" i="6"/>
  <c r="BA34" i="6"/>
  <c r="BB34" i="6"/>
  <c r="BC34" i="6"/>
  <c r="BD34" i="6"/>
  <c r="BE34" i="6"/>
  <c r="AU35" i="6"/>
  <c r="AV35" i="6"/>
  <c r="AW35" i="6"/>
  <c r="AX35" i="6"/>
  <c r="AY35" i="6"/>
  <c r="AZ35" i="6"/>
  <c r="BA35" i="6"/>
  <c r="BB35" i="6"/>
  <c r="BC35" i="6"/>
  <c r="BD35" i="6"/>
  <c r="BE35" i="6"/>
  <c r="AY36" i="6"/>
  <c r="AT35" i="6"/>
  <c r="AT34" i="6"/>
  <c r="AT33" i="6"/>
  <c r="AT32" i="6"/>
  <c r="AT31" i="6"/>
  <c r="AU24" i="6"/>
  <c r="AV24" i="6"/>
  <c r="AV29" i="6" s="1"/>
  <c r="AW24" i="6"/>
  <c r="AX24" i="6"/>
  <c r="AY24" i="6"/>
  <c r="AZ24" i="6"/>
  <c r="BA24" i="6"/>
  <c r="BB24" i="6"/>
  <c r="BC24" i="6"/>
  <c r="BD24" i="6"/>
  <c r="BE24" i="6"/>
  <c r="AU25" i="6"/>
  <c r="AV25" i="6"/>
  <c r="AW25" i="6"/>
  <c r="AX25" i="6"/>
  <c r="AY25" i="6"/>
  <c r="AZ25" i="6"/>
  <c r="BA25" i="6"/>
  <c r="BB25" i="6"/>
  <c r="BC25" i="6"/>
  <c r="BD25" i="6"/>
  <c r="BE25" i="6"/>
  <c r="BE29" i="6" s="1"/>
  <c r="AU26" i="6"/>
  <c r="AV26" i="6"/>
  <c r="AW26" i="6"/>
  <c r="AX26" i="6"/>
  <c r="AY26" i="6"/>
  <c r="AZ26" i="6"/>
  <c r="BA26" i="6"/>
  <c r="BB26" i="6"/>
  <c r="BC26" i="6"/>
  <c r="BD26" i="6"/>
  <c r="BE26" i="6"/>
  <c r="AU27" i="6"/>
  <c r="AV27" i="6"/>
  <c r="AW27" i="6"/>
  <c r="AX27" i="6"/>
  <c r="AY27" i="6"/>
  <c r="AY29" i="6" s="1"/>
  <c r="AZ27" i="6"/>
  <c r="BA27" i="6"/>
  <c r="BB27" i="6"/>
  <c r="BC27" i="6"/>
  <c r="BC29" i="6" s="1"/>
  <c r="BD27" i="6"/>
  <c r="BE27" i="6"/>
  <c r="AU28" i="6"/>
  <c r="AV28" i="6"/>
  <c r="AW28" i="6"/>
  <c r="AX28" i="6"/>
  <c r="AY28" i="6"/>
  <c r="AZ28" i="6"/>
  <c r="BA28" i="6"/>
  <c r="BB28" i="6"/>
  <c r="BC28" i="6"/>
  <c r="BD28" i="6"/>
  <c r="BE28" i="6"/>
  <c r="AT28" i="6"/>
  <c r="AT27" i="6"/>
  <c r="AT26" i="6"/>
  <c r="AT25" i="6"/>
  <c r="AT24" i="6"/>
  <c r="AT29" i="6" s="1"/>
  <c r="AU17" i="6"/>
  <c r="AV17" i="6"/>
  <c r="AW17" i="6"/>
  <c r="AX17" i="6"/>
  <c r="AY17" i="6"/>
  <c r="AZ17" i="6"/>
  <c r="BA17" i="6"/>
  <c r="BB17" i="6"/>
  <c r="BC17" i="6"/>
  <c r="BD17" i="6"/>
  <c r="BE17" i="6"/>
  <c r="AU18" i="6"/>
  <c r="AV18" i="6"/>
  <c r="AW18" i="6"/>
  <c r="AX18" i="6"/>
  <c r="AY18" i="6"/>
  <c r="AZ18" i="6"/>
  <c r="BA18" i="6"/>
  <c r="BB18" i="6"/>
  <c r="BC18" i="6"/>
  <c r="BD18" i="6"/>
  <c r="BE18" i="6"/>
  <c r="AU19" i="6"/>
  <c r="AV19" i="6"/>
  <c r="AV22" i="6" s="1"/>
  <c r="AW19" i="6"/>
  <c r="AX19" i="6"/>
  <c r="AY19" i="6"/>
  <c r="AZ19" i="6"/>
  <c r="BA19" i="6"/>
  <c r="BB19" i="6"/>
  <c r="BC19" i="6"/>
  <c r="BD19" i="6"/>
  <c r="BE19" i="6"/>
  <c r="AU20" i="6"/>
  <c r="AV20" i="6"/>
  <c r="AW20" i="6"/>
  <c r="AX20" i="6"/>
  <c r="AY20" i="6"/>
  <c r="AZ20" i="6"/>
  <c r="BA20" i="6"/>
  <c r="BB20" i="6"/>
  <c r="BB22" i="6" s="1"/>
  <c r="BC20" i="6"/>
  <c r="BD20" i="6"/>
  <c r="BE20" i="6"/>
  <c r="AU21" i="6"/>
  <c r="AV21" i="6"/>
  <c r="AW21" i="6"/>
  <c r="AX21" i="6"/>
  <c r="AY21" i="6"/>
  <c r="AZ21" i="6"/>
  <c r="BA21" i="6"/>
  <c r="BB21" i="6"/>
  <c r="BC21" i="6"/>
  <c r="BD21" i="6"/>
  <c r="BE21" i="6"/>
  <c r="AT18" i="6"/>
  <c r="AT19" i="6"/>
  <c r="AT20" i="6"/>
  <c r="AT21" i="6"/>
  <c r="AT17" i="6"/>
  <c r="BA10" i="6"/>
  <c r="AU10" i="6"/>
  <c r="AV10" i="6"/>
  <c r="AW10" i="6"/>
  <c r="AX10" i="6"/>
  <c r="AY10" i="6"/>
  <c r="AZ10" i="6"/>
  <c r="BB10" i="6"/>
  <c r="BC10" i="6"/>
  <c r="BD10" i="6"/>
  <c r="BE10" i="6"/>
  <c r="AU11" i="6"/>
  <c r="AV11" i="6"/>
  <c r="AW11" i="6"/>
  <c r="AX11" i="6"/>
  <c r="AY11" i="6"/>
  <c r="AZ11" i="6"/>
  <c r="BA11" i="6"/>
  <c r="BB11" i="6"/>
  <c r="BC11" i="6"/>
  <c r="BD11" i="6"/>
  <c r="BE11" i="6"/>
  <c r="AU12" i="6"/>
  <c r="AV12" i="6"/>
  <c r="AW12" i="6"/>
  <c r="AX12" i="6"/>
  <c r="AY12" i="6"/>
  <c r="AZ12" i="6"/>
  <c r="BA12" i="6"/>
  <c r="BB12" i="6"/>
  <c r="BC12" i="6"/>
  <c r="BD12" i="6"/>
  <c r="BE12" i="6"/>
  <c r="AU13" i="6"/>
  <c r="AV13" i="6"/>
  <c r="AW13" i="6"/>
  <c r="AX13" i="6"/>
  <c r="AY13" i="6"/>
  <c r="AZ13" i="6"/>
  <c r="BA13" i="6"/>
  <c r="BB13" i="6"/>
  <c r="BC13" i="6"/>
  <c r="BD13" i="6"/>
  <c r="BE13" i="6"/>
  <c r="AU14" i="6"/>
  <c r="AV14" i="6"/>
  <c r="AW14" i="6"/>
  <c r="AX14" i="6"/>
  <c r="AY14" i="6"/>
  <c r="AZ14" i="6"/>
  <c r="BA14" i="6"/>
  <c r="BB14" i="6"/>
  <c r="BC14" i="6"/>
  <c r="BD14" i="6"/>
  <c r="BE14" i="6"/>
  <c r="AT11" i="6"/>
  <c r="AT12" i="6"/>
  <c r="AT13" i="6"/>
  <c r="AT14" i="6"/>
  <c r="AT10" i="6"/>
  <c r="AT141" i="6"/>
  <c r="AT134" i="6"/>
  <c r="AT127" i="6"/>
  <c r="AT113" i="6"/>
  <c r="BC98" i="6"/>
  <c r="BB98" i="6"/>
  <c r="AZ98" i="6"/>
  <c r="AW98" i="6"/>
  <c r="AU98" i="6"/>
  <c r="AT98" i="6"/>
  <c r="BD97" i="6"/>
  <c r="BC97" i="6"/>
  <c r="BB97" i="6"/>
  <c r="BA97" i="6"/>
  <c r="AX97" i="6"/>
  <c r="AW97" i="6"/>
  <c r="AV97" i="6"/>
  <c r="AU97" i="6"/>
  <c r="BE96" i="6"/>
  <c r="BA96" i="6"/>
  <c r="AZ96" i="6"/>
  <c r="AY96" i="6"/>
  <c r="AX96" i="6"/>
  <c r="AW96" i="6"/>
  <c r="AT96" i="6"/>
  <c r="BD95" i="6"/>
  <c r="BB95" i="6"/>
  <c r="BA95" i="6"/>
  <c r="AZ95" i="6"/>
  <c r="AV95" i="6"/>
  <c r="AU95" i="6"/>
  <c r="AT95" i="6"/>
  <c r="BD94" i="6"/>
  <c r="AY94" i="6"/>
  <c r="AX94" i="6"/>
  <c r="AV94" i="6"/>
  <c r="AT94" i="6"/>
  <c r="AT78" i="6"/>
  <c r="AT71" i="6"/>
  <c r="AW71" i="6"/>
  <c r="AT64" i="6"/>
  <c r="BD36" i="6"/>
  <c r="AT22" i="6"/>
  <c r="AB14" i="6"/>
  <c r="X10" i="6"/>
  <c r="AG140" i="6"/>
  <c r="AF140" i="6"/>
  <c r="AE140" i="6"/>
  <c r="AD140" i="6"/>
  <c r="AC140" i="6"/>
  <c r="AB140" i="6"/>
  <c r="AA140" i="6"/>
  <c r="Z140" i="6"/>
  <c r="Y140" i="6"/>
  <c r="X140" i="6"/>
  <c r="AG139" i="6"/>
  <c r="AF139" i="6"/>
  <c r="AE139" i="6"/>
  <c r="AD139" i="6"/>
  <c r="AC139" i="6"/>
  <c r="AB139" i="6"/>
  <c r="AA139" i="6"/>
  <c r="Z139" i="6"/>
  <c r="Y139" i="6"/>
  <c r="X139" i="6"/>
  <c r="AG138" i="6"/>
  <c r="AF138" i="6"/>
  <c r="AE138" i="6"/>
  <c r="AD138" i="6"/>
  <c r="AC138" i="6"/>
  <c r="AB138" i="6"/>
  <c r="AA138" i="6"/>
  <c r="Z138" i="6"/>
  <c r="Y138" i="6"/>
  <c r="X138" i="6"/>
  <c r="AG137" i="6"/>
  <c r="AF137" i="6"/>
  <c r="AE137" i="6"/>
  <c r="AD137" i="6"/>
  <c r="AC137" i="6"/>
  <c r="AB137" i="6"/>
  <c r="AA137" i="6"/>
  <c r="Z137" i="6"/>
  <c r="Y137" i="6"/>
  <c r="X137" i="6"/>
  <c r="AG136" i="6"/>
  <c r="AF136" i="6"/>
  <c r="AE136" i="6"/>
  <c r="AD136" i="6"/>
  <c r="AC136" i="6"/>
  <c r="AB136" i="6"/>
  <c r="AA136" i="6"/>
  <c r="Z136" i="6"/>
  <c r="Y136" i="6"/>
  <c r="X136" i="6"/>
  <c r="AG133" i="6"/>
  <c r="AF133" i="6"/>
  <c r="AE133" i="6"/>
  <c r="AD133" i="6"/>
  <c r="AC133" i="6"/>
  <c r="AB133" i="6"/>
  <c r="AA133" i="6"/>
  <c r="Z133" i="6"/>
  <c r="Y133" i="6"/>
  <c r="X133" i="6"/>
  <c r="AG132" i="6"/>
  <c r="AF132" i="6"/>
  <c r="AE132" i="6"/>
  <c r="AD132" i="6"/>
  <c r="AC132" i="6"/>
  <c r="AB132" i="6"/>
  <c r="AA132" i="6"/>
  <c r="Z132" i="6"/>
  <c r="Y132" i="6"/>
  <c r="X132" i="6"/>
  <c r="AG131" i="6"/>
  <c r="AF131" i="6"/>
  <c r="AE131" i="6"/>
  <c r="AD131" i="6"/>
  <c r="AC131" i="6"/>
  <c r="AB131" i="6"/>
  <c r="AA131" i="6"/>
  <c r="Z131" i="6"/>
  <c r="Y131" i="6"/>
  <c r="X131" i="6"/>
  <c r="AG130" i="6"/>
  <c r="AF130" i="6"/>
  <c r="AE130" i="6"/>
  <c r="AD130" i="6"/>
  <c r="AC130" i="6"/>
  <c r="AB130" i="6"/>
  <c r="AA130" i="6"/>
  <c r="Z130" i="6"/>
  <c r="Y130" i="6"/>
  <c r="X130" i="6"/>
  <c r="AG129" i="6"/>
  <c r="AF129" i="6"/>
  <c r="AE129" i="6"/>
  <c r="AD129" i="6"/>
  <c r="AC129" i="6"/>
  <c r="AB129" i="6"/>
  <c r="AA129" i="6"/>
  <c r="Z129" i="6"/>
  <c r="Y129" i="6"/>
  <c r="X129" i="6"/>
  <c r="AG126" i="6"/>
  <c r="AF126" i="6"/>
  <c r="AE126" i="6"/>
  <c r="AD126" i="6"/>
  <c r="AC126" i="6"/>
  <c r="AB126" i="6"/>
  <c r="AA126" i="6"/>
  <c r="Z126" i="6"/>
  <c r="Y126" i="6"/>
  <c r="X126" i="6"/>
  <c r="AG125" i="6"/>
  <c r="AF125" i="6"/>
  <c r="AE125" i="6"/>
  <c r="AD125" i="6"/>
  <c r="AC125" i="6"/>
  <c r="AB125" i="6"/>
  <c r="AA125" i="6"/>
  <c r="Z125" i="6"/>
  <c r="Y125" i="6"/>
  <c r="X125" i="6"/>
  <c r="AG124" i="6"/>
  <c r="AF124" i="6"/>
  <c r="AE124" i="6"/>
  <c r="AD124" i="6"/>
  <c r="AC124" i="6"/>
  <c r="AB124" i="6"/>
  <c r="AA124" i="6"/>
  <c r="Z124" i="6"/>
  <c r="Y124" i="6"/>
  <c r="X124" i="6"/>
  <c r="AG123" i="6"/>
  <c r="AF123" i="6"/>
  <c r="AE123" i="6"/>
  <c r="AD123" i="6"/>
  <c r="AC123" i="6"/>
  <c r="AB123" i="6"/>
  <c r="AA123" i="6"/>
  <c r="Z123" i="6"/>
  <c r="Y123" i="6"/>
  <c r="X123" i="6"/>
  <c r="AG122" i="6"/>
  <c r="AF122" i="6"/>
  <c r="AE122" i="6"/>
  <c r="AD122" i="6"/>
  <c r="AC122" i="6"/>
  <c r="AB122" i="6"/>
  <c r="AA122" i="6"/>
  <c r="Z122" i="6"/>
  <c r="Z127" i="6" s="1"/>
  <c r="Y122" i="6"/>
  <c r="X122" i="6"/>
  <c r="X127" i="6" s="1"/>
  <c r="AG119" i="6"/>
  <c r="AF119" i="6"/>
  <c r="AE119" i="6"/>
  <c r="AD119" i="6"/>
  <c r="AC119" i="6"/>
  <c r="AB119" i="6"/>
  <c r="AA119" i="6"/>
  <c r="Z119" i="6"/>
  <c r="Y119" i="6"/>
  <c r="X119" i="6"/>
  <c r="AG118" i="6"/>
  <c r="AF118" i="6"/>
  <c r="AE118" i="6"/>
  <c r="AD118" i="6"/>
  <c r="AC118" i="6"/>
  <c r="AB118" i="6"/>
  <c r="AA118" i="6"/>
  <c r="Z118" i="6"/>
  <c r="Y118" i="6"/>
  <c r="X118" i="6"/>
  <c r="AG117" i="6"/>
  <c r="AF117" i="6"/>
  <c r="AE117" i="6"/>
  <c r="AD117" i="6"/>
  <c r="AC117" i="6"/>
  <c r="AB117" i="6"/>
  <c r="AA117" i="6"/>
  <c r="Z117" i="6"/>
  <c r="Y117" i="6"/>
  <c r="X117" i="6"/>
  <c r="AG116" i="6"/>
  <c r="AF116" i="6"/>
  <c r="AE116" i="6"/>
  <c r="AD116" i="6"/>
  <c r="AC116" i="6"/>
  <c r="AB116" i="6"/>
  <c r="AA116" i="6"/>
  <c r="Z116" i="6"/>
  <c r="Y116" i="6"/>
  <c r="X116" i="6"/>
  <c r="AG115" i="6"/>
  <c r="AF115" i="6"/>
  <c r="AE115" i="6"/>
  <c r="AD115" i="6"/>
  <c r="AC115" i="6"/>
  <c r="AB115" i="6"/>
  <c r="AB120" i="6" s="1"/>
  <c r="AA115" i="6"/>
  <c r="Z115" i="6"/>
  <c r="Z120" i="6" s="1"/>
  <c r="Y115" i="6"/>
  <c r="X115" i="6"/>
  <c r="X120" i="6" s="1"/>
  <c r="AG112" i="6"/>
  <c r="AF112" i="6"/>
  <c r="AE112" i="6"/>
  <c r="AD112" i="6"/>
  <c r="AC112" i="6"/>
  <c r="AB112" i="6"/>
  <c r="AA112" i="6"/>
  <c r="Z112" i="6"/>
  <c r="Y112" i="6"/>
  <c r="X112" i="6"/>
  <c r="AG111" i="6"/>
  <c r="AF111" i="6"/>
  <c r="AE111" i="6"/>
  <c r="AD111" i="6"/>
  <c r="AC111" i="6"/>
  <c r="AB111" i="6"/>
  <c r="AA111" i="6"/>
  <c r="Z111" i="6"/>
  <c r="Y111" i="6"/>
  <c r="X111" i="6"/>
  <c r="AG110" i="6"/>
  <c r="AF110" i="6"/>
  <c r="AE110" i="6"/>
  <c r="AD110" i="6"/>
  <c r="AC110" i="6"/>
  <c r="AB110" i="6"/>
  <c r="AA110" i="6"/>
  <c r="Z110" i="6"/>
  <c r="Y110" i="6"/>
  <c r="X110" i="6"/>
  <c r="AG109" i="6"/>
  <c r="AF109" i="6"/>
  <c r="AE109" i="6"/>
  <c r="AD109" i="6"/>
  <c r="AC109" i="6"/>
  <c r="AB109" i="6"/>
  <c r="AA109" i="6"/>
  <c r="Z109" i="6"/>
  <c r="Y109" i="6"/>
  <c r="X109" i="6"/>
  <c r="AG108" i="6"/>
  <c r="AF108" i="6"/>
  <c r="AE108" i="6"/>
  <c r="AD108" i="6"/>
  <c r="AD113" i="6" s="1"/>
  <c r="AC108" i="6"/>
  <c r="AB108" i="6"/>
  <c r="AB113" i="6" s="1"/>
  <c r="AA108" i="6"/>
  <c r="Z108" i="6"/>
  <c r="Z113" i="6" s="1"/>
  <c r="Y108" i="6"/>
  <c r="X108" i="6"/>
  <c r="AG105" i="6"/>
  <c r="AF105" i="6"/>
  <c r="AE105" i="6"/>
  <c r="AD105" i="6"/>
  <c r="AC105" i="6"/>
  <c r="AB105" i="6"/>
  <c r="AA105" i="6"/>
  <c r="Z105" i="6"/>
  <c r="Y105" i="6"/>
  <c r="X105" i="6"/>
  <c r="AG104" i="6"/>
  <c r="AF104" i="6"/>
  <c r="AE104" i="6"/>
  <c r="AD104" i="6"/>
  <c r="AC104" i="6"/>
  <c r="AB104" i="6"/>
  <c r="AA104" i="6"/>
  <c r="Z104" i="6"/>
  <c r="Y104" i="6"/>
  <c r="X104" i="6"/>
  <c r="AG103" i="6"/>
  <c r="AF103" i="6"/>
  <c r="AE103" i="6"/>
  <c r="AD103" i="6"/>
  <c r="AC103" i="6"/>
  <c r="AB103" i="6"/>
  <c r="AA103" i="6"/>
  <c r="Z103" i="6"/>
  <c r="Y103" i="6"/>
  <c r="X103" i="6"/>
  <c r="AG102" i="6"/>
  <c r="AF102" i="6"/>
  <c r="AE102" i="6"/>
  <c r="AD102" i="6"/>
  <c r="AC102" i="6"/>
  <c r="AB102" i="6"/>
  <c r="AA102" i="6"/>
  <c r="Z102" i="6"/>
  <c r="Y102" i="6"/>
  <c r="X102" i="6"/>
  <c r="AG101" i="6"/>
  <c r="AF101" i="6"/>
  <c r="AF106" i="6" s="1"/>
  <c r="AE101" i="6"/>
  <c r="AD101" i="6"/>
  <c r="AD106" i="6" s="1"/>
  <c r="AC101" i="6"/>
  <c r="AB101" i="6"/>
  <c r="AB106" i="6" s="1"/>
  <c r="AA101" i="6"/>
  <c r="Z101" i="6"/>
  <c r="Y101" i="6"/>
  <c r="X101" i="6"/>
  <c r="AG84" i="6"/>
  <c r="AG98" i="6" s="1"/>
  <c r="AF84" i="6"/>
  <c r="AF98" i="6" s="1"/>
  <c r="AE84" i="6"/>
  <c r="AE98" i="6" s="1"/>
  <c r="AD84" i="6"/>
  <c r="AD98" i="6" s="1"/>
  <c r="AC84" i="6"/>
  <c r="AC98" i="6" s="1"/>
  <c r="AB84" i="6"/>
  <c r="AB98" i="6" s="1"/>
  <c r="AA84" i="6"/>
  <c r="AA98" i="6" s="1"/>
  <c r="Z84" i="6"/>
  <c r="Z98" i="6" s="1"/>
  <c r="Y84" i="6"/>
  <c r="Y98" i="6" s="1"/>
  <c r="X84" i="6"/>
  <c r="X98" i="6" s="1"/>
  <c r="AG83" i="6"/>
  <c r="AG97" i="6" s="1"/>
  <c r="AF83" i="6"/>
  <c r="AF97" i="6" s="1"/>
  <c r="AE83" i="6"/>
  <c r="AE97" i="6" s="1"/>
  <c r="AD83" i="6"/>
  <c r="AD97" i="6" s="1"/>
  <c r="AC83" i="6"/>
  <c r="AC97" i="6" s="1"/>
  <c r="AB83" i="6"/>
  <c r="AB97" i="6" s="1"/>
  <c r="AA83" i="6"/>
  <c r="AA97" i="6" s="1"/>
  <c r="Z83" i="6"/>
  <c r="Z97" i="6" s="1"/>
  <c r="Y83" i="6"/>
  <c r="Y97" i="6" s="1"/>
  <c r="X83" i="6"/>
  <c r="X97" i="6" s="1"/>
  <c r="AG82" i="6"/>
  <c r="AG96" i="6" s="1"/>
  <c r="AF82" i="6"/>
  <c r="AF96" i="6" s="1"/>
  <c r="AE82" i="6"/>
  <c r="AE96" i="6" s="1"/>
  <c r="AD82" i="6"/>
  <c r="AD96" i="6" s="1"/>
  <c r="AC82" i="6"/>
  <c r="AC96" i="6" s="1"/>
  <c r="AB82" i="6"/>
  <c r="AB96" i="6" s="1"/>
  <c r="AA82" i="6"/>
  <c r="AA96" i="6" s="1"/>
  <c r="Z82" i="6"/>
  <c r="Z96" i="6" s="1"/>
  <c r="Y82" i="6"/>
  <c r="Y96" i="6" s="1"/>
  <c r="X82" i="6"/>
  <c r="X96" i="6" s="1"/>
  <c r="AG81" i="6"/>
  <c r="AG95" i="6" s="1"/>
  <c r="AF81" i="6"/>
  <c r="AF95" i="6" s="1"/>
  <c r="AE81" i="6"/>
  <c r="AE95" i="6" s="1"/>
  <c r="AD81" i="6"/>
  <c r="AD95" i="6" s="1"/>
  <c r="AC81" i="6"/>
  <c r="AC95" i="6" s="1"/>
  <c r="AB81" i="6"/>
  <c r="AB95" i="6" s="1"/>
  <c r="AA81" i="6"/>
  <c r="AA95" i="6" s="1"/>
  <c r="Z81" i="6"/>
  <c r="Z95" i="6" s="1"/>
  <c r="Y81" i="6"/>
  <c r="Y95" i="6" s="1"/>
  <c r="X81" i="6"/>
  <c r="X95" i="6" s="1"/>
  <c r="AG80" i="6"/>
  <c r="AF80" i="6"/>
  <c r="AF85" i="6" s="1"/>
  <c r="AE80" i="6"/>
  <c r="AD80" i="6"/>
  <c r="AD85" i="6" s="1"/>
  <c r="AC80" i="6"/>
  <c r="AC94" i="6" s="1"/>
  <c r="AB80" i="6"/>
  <c r="AB94" i="6" s="1"/>
  <c r="AA80" i="6"/>
  <c r="AA94" i="6" s="1"/>
  <c r="Z80" i="6"/>
  <c r="Z94" i="6" s="1"/>
  <c r="Y80" i="6"/>
  <c r="X80" i="6"/>
  <c r="AG77" i="6"/>
  <c r="AF77" i="6"/>
  <c r="AE77" i="6"/>
  <c r="AD77" i="6"/>
  <c r="AC77" i="6"/>
  <c r="AB77" i="6"/>
  <c r="AA77" i="6"/>
  <c r="Z77" i="6"/>
  <c r="Y77" i="6"/>
  <c r="X77" i="6"/>
  <c r="AG76" i="6"/>
  <c r="AF76" i="6"/>
  <c r="AE76" i="6"/>
  <c r="AD76" i="6"/>
  <c r="AC76" i="6"/>
  <c r="AB76" i="6"/>
  <c r="AA76" i="6"/>
  <c r="Z76" i="6"/>
  <c r="Y76" i="6"/>
  <c r="X76" i="6"/>
  <c r="AG75" i="6"/>
  <c r="AF75" i="6"/>
  <c r="AE75" i="6"/>
  <c r="AD75" i="6"/>
  <c r="AC75" i="6"/>
  <c r="AB75" i="6"/>
  <c r="AA75" i="6"/>
  <c r="Z75" i="6"/>
  <c r="Y75" i="6"/>
  <c r="X75" i="6"/>
  <c r="AG74" i="6"/>
  <c r="AF74" i="6"/>
  <c r="AE74" i="6"/>
  <c r="AD74" i="6"/>
  <c r="AC74" i="6"/>
  <c r="AB74" i="6"/>
  <c r="AA74" i="6"/>
  <c r="Z74" i="6"/>
  <c r="Y74" i="6"/>
  <c r="X74" i="6"/>
  <c r="AG73" i="6"/>
  <c r="AF73" i="6"/>
  <c r="AF78" i="6" s="1"/>
  <c r="AE73" i="6"/>
  <c r="AD73" i="6"/>
  <c r="AC73" i="6"/>
  <c r="AB73" i="6"/>
  <c r="AA73" i="6"/>
  <c r="Z73" i="6"/>
  <c r="Y73" i="6"/>
  <c r="X73" i="6"/>
  <c r="AG70" i="6"/>
  <c r="AF70" i="6"/>
  <c r="AE70" i="6"/>
  <c r="AD70" i="6"/>
  <c r="AC70" i="6"/>
  <c r="AB70" i="6"/>
  <c r="AA70" i="6"/>
  <c r="Z70" i="6"/>
  <c r="Y70" i="6"/>
  <c r="X70" i="6"/>
  <c r="AG69" i="6"/>
  <c r="AF69" i="6"/>
  <c r="AE69" i="6"/>
  <c r="AD69" i="6"/>
  <c r="AC69" i="6"/>
  <c r="AB69" i="6"/>
  <c r="AA69" i="6"/>
  <c r="Z69" i="6"/>
  <c r="Y69" i="6"/>
  <c r="X69" i="6"/>
  <c r="AG68" i="6"/>
  <c r="AF68" i="6"/>
  <c r="AE68" i="6"/>
  <c r="AD68" i="6"/>
  <c r="AC68" i="6"/>
  <c r="AB68" i="6"/>
  <c r="AA68" i="6"/>
  <c r="Z68" i="6"/>
  <c r="Y68" i="6"/>
  <c r="X68" i="6"/>
  <c r="AG67" i="6"/>
  <c r="AF67" i="6"/>
  <c r="AE67" i="6"/>
  <c r="AD67" i="6"/>
  <c r="AC67" i="6"/>
  <c r="AB67" i="6"/>
  <c r="AA67" i="6"/>
  <c r="Z67" i="6"/>
  <c r="Y67" i="6"/>
  <c r="X67" i="6"/>
  <c r="AG66" i="6"/>
  <c r="AF66" i="6"/>
  <c r="AE66" i="6"/>
  <c r="AD66" i="6"/>
  <c r="AC66" i="6"/>
  <c r="AB66" i="6"/>
  <c r="AA66" i="6"/>
  <c r="Z66" i="6"/>
  <c r="Y66" i="6"/>
  <c r="X66" i="6"/>
  <c r="X71" i="6" s="1"/>
  <c r="AG63" i="6"/>
  <c r="AF63" i="6"/>
  <c r="AE63" i="6"/>
  <c r="AD63" i="6"/>
  <c r="AC63" i="6"/>
  <c r="AB63" i="6"/>
  <c r="AA63" i="6"/>
  <c r="Z63" i="6"/>
  <c r="Y63" i="6"/>
  <c r="X63" i="6"/>
  <c r="AG62" i="6"/>
  <c r="AF62" i="6"/>
  <c r="AE62" i="6"/>
  <c r="AD62" i="6"/>
  <c r="AC62" i="6"/>
  <c r="AB62" i="6"/>
  <c r="AA62" i="6"/>
  <c r="Z62" i="6"/>
  <c r="Y62" i="6"/>
  <c r="X62" i="6"/>
  <c r="AG61" i="6"/>
  <c r="AF61" i="6"/>
  <c r="AE61" i="6"/>
  <c r="AD61" i="6"/>
  <c r="AC61" i="6"/>
  <c r="AB61" i="6"/>
  <c r="AA61" i="6"/>
  <c r="Z61" i="6"/>
  <c r="Y61" i="6"/>
  <c r="X61" i="6"/>
  <c r="AG60" i="6"/>
  <c r="AF60" i="6"/>
  <c r="AE60" i="6"/>
  <c r="AD60" i="6"/>
  <c r="AC60" i="6"/>
  <c r="AB60" i="6"/>
  <c r="AA60" i="6"/>
  <c r="Z60" i="6"/>
  <c r="Y60" i="6"/>
  <c r="X60" i="6"/>
  <c r="AG59" i="6"/>
  <c r="AF59" i="6"/>
  <c r="AE59" i="6"/>
  <c r="AD59" i="6"/>
  <c r="AC59" i="6"/>
  <c r="AB59" i="6"/>
  <c r="AA59" i="6"/>
  <c r="Z59" i="6"/>
  <c r="Z64" i="6" s="1"/>
  <c r="Y59" i="6"/>
  <c r="X59" i="6"/>
  <c r="X64" i="6" s="1"/>
  <c r="AG56" i="6"/>
  <c r="AF56" i="6"/>
  <c r="AE56" i="6"/>
  <c r="AD56" i="6"/>
  <c r="AC56" i="6"/>
  <c r="AB56" i="6"/>
  <c r="AA56" i="6"/>
  <c r="Z56" i="6"/>
  <c r="Y56" i="6"/>
  <c r="X56" i="6"/>
  <c r="AG55" i="6"/>
  <c r="AF55" i="6"/>
  <c r="AE55" i="6"/>
  <c r="AD55" i="6"/>
  <c r="AC55" i="6"/>
  <c r="AB55" i="6"/>
  <c r="AA55" i="6"/>
  <c r="Z55" i="6"/>
  <c r="Y55" i="6"/>
  <c r="X55" i="6"/>
  <c r="AG54" i="6"/>
  <c r="AF54" i="6"/>
  <c r="AE54" i="6"/>
  <c r="AD54" i="6"/>
  <c r="AC54" i="6"/>
  <c r="AB54" i="6"/>
  <c r="AA54" i="6"/>
  <c r="Z54" i="6"/>
  <c r="Y54" i="6"/>
  <c r="X54" i="6"/>
  <c r="AG53" i="6"/>
  <c r="AF53" i="6"/>
  <c r="AE53" i="6"/>
  <c r="AD53" i="6"/>
  <c r="AC53" i="6"/>
  <c r="AB53" i="6"/>
  <c r="AA53" i="6"/>
  <c r="Z53" i="6"/>
  <c r="Y53" i="6"/>
  <c r="X53" i="6"/>
  <c r="AG52" i="6"/>
  <c r="AF52" i="6"/>
  <c r="AE52" i="6"/>
  <c r="AD52" i="6"/>
  <c r="AC52" i="6"/>
  <c r="AB52" i="6"/>
  <c r="AB57" i="6" s="1"/>
  <c r="AA52" i="6"/>
  <c r="Z52" i="6"/>
  <c r="Z57" i="6" s="1"/>
  <c r="Y52" i="6"/>
  <c r="X52" i="6"/>
  <c r="AG49" i="6"/>
  <c r="AF49" i="6"/>
  <c r="AE49" i="6"/>
  <c r="AD49" i="6"/>
  <c r="AC49" i="6"/>
  <c r="AB49" i="6"/>
  <c r="AA49" i="6"/>
  <c r="Z49" i="6"/>
  <c r="Y49" i="6"/>
  <c r="X49" i="6"/>
  <c r="AG48" i="6"/>
  <c r="AF48" i="6"/>
  <c r="AE48" i="6"/>
  <c r="AD48" i="6"/>
  <c r="AC48" i="6"/>
  <c r="AB48" i="6"/>
  <c r="AA48" i="6"/>
  <c r="Z48" i="6"/>
  <c r="Y48" i="6"/>
  <c r="X48" i="6"/>
  <c r="AG47" i="6"/>
  <c r="AF47" i="6"/>
  <c r="AE47" i="6"/>
  <c r="AD47" i="6"/>
  <c r="AC47" i="6"/>
  <c r="AB47" i="6"/>
  <c r="AA47" i="6"/>
  <c r="Z47" i="6"/>
  <c r="Y47" i="6"/>
  <c r="X47" i="6"/>
  <c r="AG46" i="6"/>
  <c r="AF46" i="6"/>
  <c r="AE46" i="6"/>
  <c r="AD46" i="6"/>
  <c r="AC46" i="6"/>
  <c r="AB46" i="6"/>
  <c r="AA46" i="6"/>
  <c r="Z46" i="6"/>
  <c r="Y46" i="6"/>
  <c r="X46" i="6"/>
  <c r="AG45" i="6"/>
  <c r="AF45" i="6"/>
  <c r="AE45" i="6"/>
  <c r="AD45" i="6"/>
  <c r="AD50" i="6" s="1"/>
  <c r="AC45" i="6"/>
  <c r="AB45" i="6"/>
  <c r="AB50" i="6" s="1"/>
  <c r="AA45" i="6"/>
  <c r="Z45" i="6"/>
  <c r="Y45" i="6"/>
  <c r="X45" i="6"/>
  <c r="AG42" i="6"/>
  <c r="AF42" i="6"/>
  <c r="AE42" i="6"/>
  <c r="AD42" i="6"/>
  <c r="AC42" i="6"/>
  <c r="AB42" i="6"/>
  <c r="AA42" i="6"/>
  <c r="Z42" i="6"/>
  <c r="Y42" i="6"/>
  <c r="X42" i="6"/>
  <c r="AG41" i="6"/>
  <c r="AF41" i="6"/>
  <c r="AE41" i="6"/>
  <c r="AD41" i="6"/>
  <c r="AC41" i="6"/>
  <c r="AB41" i="6"/>
  <c r="AA41" i="6"/>
  <c r="Z41" i="6"/>
  <c r="Y41" i="6"/>
  <c r="X41" i="6"/>
  <c r="AG40" i="6"/>
  <c r="AF40" i="6"/>
  <c r="AE40" i="6"/>
  <c r="AD40" i="6"/>
  <c r="AC40" i="6"/>
  <c r="AB40" i="6"/>
  <c r="AA40" i="6"/>
  <c r="Z40" i="6"/>
  <c r="Y40" i="6"/>
  <c r="X40" i="6"/>
  <c r="AG39" i="6"/>
  <c r="AF39" i="6"/>
  <c r="AE39" i="6"/>
  <c r="AD39" i="6"/>
  <c r="AC39" i="6"/>
  <c r="AB39" i="6"/>
  <c r="AA39" i="6"/>
  <c r="Z39" i="6"/>
  <c r="Y39" i="6"/>
  <c r="X39" i="6"/>
  <c r="AG38" i="6"/>
  <c r="AF38" i="6"/>
  <c r="AF43" i="6" s="1"/>
  <c r="AE38" i="6"/>
  <c r="AD38" i="6"/>
  <c r="AC38" i="6"/>
  <c r="AB38" i="6"/>
  <c r="AB43" i="6" s="1"/>
  <c r="AA38" i="6"/>
  <c r="Z38" i="6"/>
  <c r="Y38" i="6"/>
  <c r="X38" i="6"/>
  <c r="AG35" i="6"/>
  <c r="AF35" i="6"/>
  <c r="AE35" i="6"/>
  <c r="AD35" i="6"/>
  <c r="AC35" i="6"/>
  <c r="AB35" i="6"/>
  <c r="AA35" i="6"/>
  <c r="Z35" i="6"/>
  <c r="Y35" i="6"/>
  <c r="X35" i="6"/>
  <c r="AG34" i="6"/>
  <c r="AF34" i="6"/>
  <c r="AE34" i="6"/>
  <c r="AD34" i="6"/>
  <c r="AC34" i="6"/>
  <c r="AB34" i="6"/>
  <c r="AA34" i="6"/>
  <c r="Z34" i="6"/>
  <c r="Y34" i="6"/>
  <c r="X34" i="6"/>
  <c r="AG33" i="6"/>
  <c r="AF33" i="6"/>
  <c r="AE33" i="6"/>
  <c r="AD33" i="6"/>
  <c r="AC33" i="6"/>
  <c r="AB33" i="6"/>
  <c r="AA33" i="6"/>
  <c r="Z33" i="6"/>
  <c r="Y33" i="6"/>
  <c r="X33" i="6"/>
  <c r="AG32" i="6"/>
  <c r="AF32" i="6"/>
  <c r="AE32" i="6"/>
  <c r="AD32" i="6"/>
  <c r="AC32" i="6"/>
  <c r="AB32" i="6"/>
  <c r="AA32" i="6"/>
  <c r="Z32" i="6"/>
  <c r="Y32" i="6"/>
  <c r="X32" i="6"/>
  <c r="AG31" i="6"/>
  <c r="AF31" i="6"/>
  <c r="AE31" i="6"/>
  <c r="AD31" i="6"/>
  <c r="AC31" i="6"/>
  <c r="AB31" i="6"/>
  <c r="AA31" i="6"/>
  <c r="Z31" i="6"/>
  <c r="Y31" i="6"/>
  <c r="X31" i="6"/>
  <c r="X36" i="6" s="1"/>
  <c r="AG28" i="6"/>
  <c r="AF28" i="6"/>
  <c r="AE28" i="6"/>
  <c r="AD28" i="6"/>
  <c r="AC28" i="6"/>
  <c r="AB28" i="6"/>
  <c r="AA28" i="6"/>
  <c r="Z28" i="6"/>
  <c r="Y28" i="6"/>
  <c r="X28" i="6"/>
  <c r="AG27" i="6"/>
  <c r="AF27" i="6"/>
  <c r="AE27" i="6"/>
  <c r="AD27" i="6"/>
  <c r="AC27" i="6"/>
  <c r="AB27" i="6"/>
  <c r="AA27" i="6"/>
  <c r="Z27" i="6"/>
  <c r="Y27" i="6"/>
  <c r="X27" i="6"/>
  <c r="AG26" i="6"/>
  <c r="AF26" i="6"/>
  <c r="AE26" i="6"/>
  <c r="AD26" i="6"/>
  <c r="AC26" i="6"/>
  <c r="AB26" i="6"/>
  <c r="AA26" i="6"/>
  <c r="Z26" i="6"/>
  <c r="Y26" i="6"/>
  <c r="X26" i="6"/>
  <c r="AG25" i="6"/>
  <c r="AF25" i="6"/>
  <c r="AE25" i="6"/>
  <c r="AD25" i="6"/>
  <c r="AC25" i="6"/>
  <c r="AB25" i="6"/>
  <c r="AA25" i="6"/>
  <c r="Z25" i="6"/>
  <c r="Y25" i="6"/>
  <c r="X25" i="6"/>
  <c r="AG24" i="6"/>
  <c r="AF24" i="6"/>
  <c r="AE24" i="6"/>
  <c r="AD24" i="6"/>
  <c r="AC24" i="6"/>
  <c r="AB24" i="6"/>
  <c r="AA24" i="6"/>
  <c r="Z24" i="6"/>
  <c r="Z29" i="6" s="1"/>
  <c r="Y24" i="6"/>
  <c r="X24" i="6"/>
  <c r="AG21" i="6"/>
  <c r="AF21" i="6"/>
  <c r="AE21" i="6"/>
  <c r="AD21" i="6"/>
  <c r="AC21" i="6"/>
  <c r="AB21" i="6"/>
  <c r="AA21" i="6"/>
  <c r="Z21" i="6"/>
  <c r="Y21" i="6"/>
  <c r="X21" i="6"/>
  <c r="AG20" i="6"/>
  <c r="AF20" i="6"/>
  <c r="AE20" i="6"/>
  <c r="AD20" i="6"/>
  <c r="AC20" i="6"/>
  <c r="AB20" i="6"/>
  <c r="AA20" i="6"/>
  <c r="Z20" i="6"/>
  <c r="Y20" i="6"/>
  <c r="X20" i="6"/>
  <c r="AG19" i="6"/>
  <c r="AF19" i="6"/>
  <c r="AE19" i="6"/>
  <c r="AD19" i="6"/>
  <c r="AC19" i="6"/>
  <c r="AB19" i="6"/>
  <c r="AA19" i="6"/>
  <c r="Z19" i="6"/>
  <c r="Y19" i="6"/>
  <c r="X19" i="6"/>
  <c r="AG18" i="6"/>
  <c r="AF18" i="6"/>
  <c r="AE18" i="6"/>
  <c r="AD18" i="6"/>
  <c r="AC18" i="6"/>
  <c r="AB18" i="6"/>
  <c r="AA18" i="6"/>
  <c r="Z18" i="6"/>
  <c r="Y18" i="6"/>
  <c r="X18" i="6"/>
  <c r="AG17" i="6"/>
  <c r="AF17" i="6"/>
  <c r="AE17" i="6"/>
  <c r="AD17" i="6"/>
  <c r="AC17" i="6"/>
  <c r="AB17" i="6"/>
  <c r="AB22" i="6" s="1"/>
  <c r="AA17" i="6"/>
  <c r="Z17" i="6"/>
  <c r="Z22" i="6" s="1"/>
  <c r="Y17" i="6"/>
  <c r="X17" i="6"/>
  <c r="AG14" i="6"/>
  <c r="AF14" i="6"/>
  <c r="AE14" i="6"/>
  <c r="AD14" i="6"/>
  <c r="AC14" i="6"/>
  <c r="AA14" i="6"/>
  <c r="Z14" i="6"/>
  <c r="Y14" i="6"/>
  <c r="X14" i="6"/>
  <c r="AG13" i="6"/>
  <c r="AF13" i="6"/>
  <c r="AE13" i="6"/>
  <c r="AD13" i="6"/>
  <c r="AC13" i="6"/>
  <c r="AB13" i="6"/>
  <c r="AA13" i="6"/>
  <c r="Z13" i="6"/>
  <c r="Y13" i="6"/>
  <c r="X13" i="6"/>
  <c r="AG12" i="6"/>
  <c r="AF12" i="6"/>
  <c r="AE12" i="6"/>
  <c r="AD12" i="6"/>
  <c r="AC12" i="6"/>
  <c r="AB12" i="6"/>
  <c r="AA12" i="6"/>
  <c r="Z12" i="6"/>
  <c r="Y12" i="6"/>
  <c r="X12" i="6"/>
  <c r="AG11" i="6"/>
  <c r="AF11" i="6"/>
  <c r="AE11" i="6"/>
  <c r="AD11" i="6"/>
  <c r="AC11" i="6"/>
  <c r="AB11" i="6"/>
  <c r="AA11" i="6"/>
  <c r="Z11" i="6"/>
  <c r="Y11" i="6"/>
  <c r="X11" i="6"/>
  <c r="AG10" i="6"/>
  <c r="AF10" i="6"/>
  <c r="AE10" i="6"/>
  <c r="AD10" i="6"/>
  <c r="AC10" i="6"/>
  <c r="AB10" i="6"/>
  <c r="AA10" i="6"/>
  <c r="Z10" i="6"/>
  <c r="Y10" i="6"/>
  <c r="C127" i="6"/>
  <c r="D127" i="6"/>
  <c r="E127" i="6"/>
  <c r="F127" i="6"/>
  <c r="G127" i="6"/>
  <c r="H127" i="6"/>
  <c r="I127" i="6"/>
  <c r="J127" i="6"/>
  <c r="K127" i="6"/>
  <c r="C134" i="6"/>
  <c r="D134" i="6"/>
  <c r="E134" i="6"/>
  <c r="F134" i="6"/>
  <c r="G134" i="6"/>
  <c r="H134" i="6"/>
  <c r="I134" i="6"/>
  <c r="J134" i="6"/>
  <c r="K134" i="6"/>
  <c r="C141" i="6"/>
  <c r="D141" i="6"/>
  <c r="E141" i="6"/>
  <c r="F141" i="6"/>
  <c r="G141" i="6"/>
  <c r="H141" i="6"/>
  <c r="I141" i="6"/>
  <c r="J141" i="6"/>
  <c r="K141" i="6"/>
  <c r="B141" i="6"/>
  <c r="B134" i="6"/>
  <c r="B127" i="6"/>
  <c r="C120" i="6"/>
  <c r="D120" i="6"/>
  <c r="E120" i="6"/>
  <c r="F120" i="6"/>
  <c r="G120" i="6"/>
  <c r="H120" i="6"/>
  <c r="I120" i="6"/>
  <c r="J120" i="6"/>
  <c r="K120" i="6"/>
  <c r="B120" i="6"/>
  <c r="C113" i="6"/>
  <c r="D113" i="6"/>
  <c r="E113" i="6"/>
  <c r="F113" i="6"/>
  <c r="G113" i="6"/>
  <c r="H113" i="6"/>
  <c r="I113" i="6"/>
  <c r="J113" i="6"/>
  <c r="K113" i="6"/>
  <c r="B113" i="6"/>
  <c r="K96" i="6"/>
  <c r="J96" i="6"/>
  <c r="I96" i="6"/>
  <c r="H96" i="6"/>
  <c r="G96" i="6"/>
  <c r="F96" i="6"/>
  <c r="E96" i="6"/>
  <c r="D96" i="6"/>
  <c r="C96" i="6"/>
  <c r="B96" i="6"/>
  <c r="K95" i="6"/>
  <c r="J95" i="6"/>
  <c r="I95" i="6"/>
  <c r="H95" i="6"/>
  <c r="G95" i="6"/>
  <c r="F95" i="6"/>
  <c r="E95" i="6"/>
  <c r="D95" i="6"/>
  <c r="C95" i="6"/>
  <c r="B95" i="6"/>
  <c r="K94" i="6"/>
  <c r="J94" i="6"/>
  <c r="I94" i="6"/>
  <c r="H94" i="6"/>
  <c r="G94" i="6"/>
  <c r="F94" i="6"/>
  <c r="E94" i="6"/>
  <c r="D94" i="6"/>
  <c r="C94" i="6"/>
  <c r="B94" i="6"/>
  <c r="L94" i="6"/>
  <c r="M94" i="6"/>
  <c r="L95" i="6"/>
  <c r="M95" i="6"/>
  <c r="L96" i="6"/>
  <c r="M96" i="6"/>
  <c r="C85" i="6"/>
  <c r="D85" i="6"/>
  <c r="E85" i="6"/>
  <c r="F85" i="6"/>
  <c r="G85" i="6"/>
  <c r="H85" i="6"/>
  <c r="I85" i="6"/>
  <c r="J85" i="6"/>
  <c r="K85" i="6"/>
  <c r="B85" i="6"/>
  <c r="C78" i="6"/>
  <c r="D78" i="6"/>
  <c r="E78" i="6"/>
  <c r="F78" i="6"/>
  <c r="G78" i="6"/>
  <c r="H78" i="6"/>
  <c r="I78" i="6"/>
  <c r="J78" i="6"/>
  <c r="K78" i="6"/>
  <c r="B78" i="6"/>
  <c r="C71" i="6"/>
  <c r="D71" i="6"/>
  <c r="E71" i="6"/>
  <c r="F71" i="6"/>
  <c r="G71" i="6"/>
  <c r="H71" i="6"/>
  <c r="I71" i="6"/>
  <c r="J71" i="6"/>
  <c r="K71" i="6"/>
  <c r="B71" i="6"/>
  <c r="C64" i="6"/>
  <c r="D64" i="6"/>
  <c r="E64" i="6"/>
  <c r="F64" i="6"/>
  <c r="G64" i="6"/>
  <c r="H64" i="6"/>
  <c r="I64" i="6"/>
  <c r="J64" i="6"/>
  <c r="K64" i="6"/>
  <c r="B64" i="6"/>
  <c r="C57" i="6"/>
  <c r="D57" i="6"/>
  <c r="E57" i="6"/>
  <c r="F57" i="6"/>
  <c r="G57" i="6"/>
  <c r="H57" i="6"/>
  <c r="I57" i="6"/>
  <c r="J57" i="6"/>
  <c r="K57" i="6"/>
  <c r="B57" i="6"/>
  <c r="C50" i="6"/>
  <c r="D50" i="6"/>
  <c r="E50" i="6"/>
  <c r="F50" i="6"/>
  <c r="G50" i="6"/>
  <c r="H50" i="6"/>
  <c r="I50" i="6"/>
  <c r="J50" i="6"/>
  <c r="K50" i="6"/>
  <c r="B50" i="6"/>
  <c r="C43" i="6"/>
  <c r="D43" i="6"/>
  <c r="E43" i="6"/>
  <c r="F43" i="6"/>
  <c r="G43" i="6"/>
  <c r="H43" i="6"/>
  <c r="I43" i="6"/>
  <c r="J43" i="6"/>
  <c r="K43" i="6"/>
  <c r="B43" i="6"/>
  <c r="C36" i="6"/>
  <c r="D36" i="6"/>
  <c r="E36" i="6"/>
  <c r="F36" i="6"/>
  <c r="G36" i="6"/>
  <c r="H36" i="6"/>
  <c r="I36" i="6"/>
  <c r="J36" i="6"/>
  <c r="K36" i="6"/>
  <c r="B36" i="6"/>
  <c r="C29" i="6"/>
  <c r="D29" i="6"/>
  <c r="E29" i="6"/>
  <c r="F29" i="6"/>
  <c r="G29" i="6"/>
  <c r="H29" i="6"/>
  <c r="I29" i="6"/>
  <c r="J29" i="6"/>
  <c r="K29" i="6"/>
  <c r="B29" i="6"/>
  <c r="C22" i="6"/>
  <c r="D22" i="6"/>
  <c r="E22" i="6"/>
  <c r="F22" i="6"/>
  <c r="G22" i="6"/>
  <c r="H22" i="6"/>
  <c r="I22" i="6"/>
  <c r="J22" i="6"/>
  <c r="K22" i="6"/>
  <c r="B22" i="6"/>
  <c r="C15" i="6"/>
  <c r="D15" i="6"/>
  <c r="E15" i="6"/>
  <c r="F15" i="6"/>
  <c r="G15" i="6"/>
  <c r="H15" i="6"/>
  <c r="I15" i="6"/>
  <c r="J15" i="6"/>
  <c r="K15" i="6"/>
  <c r="B15" i="6"/>
  <c r="M127" i="6"/>
  <c r="N127" i="6"/>
  <c r="O127" i="6"/>
  <c r="P127" i="6"/>
  <c r="Q127" i="6"/>
  <c r="R127" i="6"/>
  <c r="S127" i="6"/>
  <c r="T127" i="6"/>
  <c r="U127" i="6"/>
  <c r="V127" i="6"/>
  <c r="W127" i="6"/>
  <c r="M134" i="6"/>
  <c r="N134" i="6"/>
  <c r="O134" i="6"/>
  <c r="P134" i="6"/>
  <c r="Q134" i="6"/>
  <c r="R134" i="6"/>
  <c r="S134" i="6"/>
  <c r="T134" i="6"/>
  <c r="U134" i="6"/>
  <c r="V134" i="6"/>
  <c r="W134" i="6"/>
  <c r="M141" i="6"/>
  <c r="N141" i="6"/>
  <c r="O141" i="6"/>
  <c r="P141" i="6"/>
  <c r="Q141" i="6"/>
  <c r="R141" i="6"/>
  <c r="S141" i="6"/>
  <c r="T141" i="6"/>
  <c r="U141" i="6"/>
  <c r="V141" i="6"/>
  <c r="W141" i="6"/>
  <c r="L141" i="6"/>
  <c r="L134" i="6"/>
  <c r="L127" i="6"/>
  <c r="M120" i="6"/>
  <c r="N120" i="6"/>
  <c r="O120" i="6"/>
  <c r="P120" i="6"/>
  <c r="Q120" i="6"/>
  <c r="R120" i="6"/>
  <c r="S120" i="6"/>
  <c r="T120" i="6"/>
  <c r="U120" i="6"/>
  <c r="V120" i="6"/>
  <c r="W120" i="6"/>
  <c r="L120" i="6"/>
  <c r="M113" i="6"/>
  <c r="N113" i="6"/>
  <c r="O113" i="6"/>
  <c r="P113" i="6"/>
  <c r="Q113" i="6"/>
  <c r="R113" i="6"/>
  <c r="S113" i="6"/>
  <c r="T113" i="6"/>
  <c r="U113" i="6"/>
  <c r="V113" i="6"/>
  <c r="W113" i="6"/>
  <c r="L113" i="6"/>
  <c r="CQ108" i="6"/>
  <c r="CR108" i="6"/>
  <c r="CS108" i="6"/>
  <c r="CT108" i="6"/>
  <c r="CU108" i="6"/>
  <c r="CV108" i="6"/>
  <c r="CW108" i="6"/>
  <c r="CX108" i="6"/>
  <c r="CY108" i="6"/>
  <c r="CZ108" i="6"/>
  <c r="DA108" i="6"/>
  <c r="CQ109" i="6"/>
  <c r="CR109" i="6"/>
  <c r="CS109" i="6"/>
  <c r="CT109" i="6"/>
  <c r="CU109" i="6"/>
  <c r="CV109" i="6"/>
  <c r="CW109" i="6"/>
  <c r="CX109" i="6"/>
  <c r="CY109" i="6"/>
  <c r="CZ109" i="6"/>
  <c r="DA109" i="6"/>
  <c r="CQ110" i="6"/>
  <c r="CR110" i="6"/>
  <c r="CS110" i="6"/>
  <c r="CT110" i="6"/>
  <c r="CU110" i="6"/>
  <c r="CV110" i="6"/>
  <c r="CW110" i="6"/>
  <c r="CX110" i="6"/>
  <c r="CY110" i="6"/>
  <c r="CZ110" i="6"/>
  <c r="DA110" i="6"/>
  <c r="CQ111" i="6"/>
  <c r="CR111" i="6"/>
  <c r="CS111" i="6"/>
  <c r="CT111" i="6"/>
  <c r="CU111" i="6"/>
  <c r="CV111" i="6"/>
  <c r="CW111" i="6"/>
  <c r="CX111" i="6"/>
  <c r="CY111" i="6"/>
  <c r="CZ111" i="6"/>
  <c r="DA111" i="6"/>
  <c r="CQ112" i="6"/>
  <c r="CR112" i="6"/>
  <c r="CS112" i="6"/>
  <c r="CT112" i="6"/>
  <c r="CU112" i="6"/>
  <c r="CV112" i="6"/>
  <c r="CW112" i="6"/>
  <c r="CX112" i="6"/>
  <c r="CY112" i="6"/>
  <c r="CZ112" i="6"/>
  <c r="DA112" i="6"/>
  <c r="CP109" i="6"/>
  <c r="CP110" i="6"/>
  <c r="CP111" i="6"/>
  <c r="CP112" i="6"/>
  <c r="CP108" i="6"/>
  <c r="N94" i="6"/>
  <c r="O94" i="6"/>
  <c r="P94" i="6"/>
  <c r="Q94" i="6"/>
  <c r="R94" i="6"/>
  <c r="S94" i="6"/>
  <c r="T94" i="6"/>
  <c r="U94" i="6"/>
  <c r="V94" i="6"/>
  <c r="N95" i="6"/>
  <c r="O95" i="6"/>
  <c r="P95" i="6"/>
  <c r="Q95" i="6"/>
  <c r="R95" i="6"/>
  <c r="S95" i="6"/>
  <c r="T95" i="6"/>
  <c r="U95" i="6"/>
  <c r="V95" i="6"/>
  <c r="N96" i="6"/>
  <c r="O96" i="6"/>
  <c r="P96" i="6"/>
  <c r="Q96" i="6"/>
  <c r="R96" i="6"/>
  <c r="R99" i="6" s="1"/>
  <c r="S96" i="6"/>
  <c r="T96" i="6"/>
  <c r="U96" i="6"/>
  <c r="V96" i="6"/>
  <c r="O99" i="6"/>
  <c r="W96" i="6"/>
  <c r="W95" i="6"/>
  <c r="W94" i="6"/>
  <c r="W99" i="6" s="1"/>
  <c r="AH94" i="6"/>
  <c r="AI94" i="6"/>
  <c r="AJ94" i="6"/>
  <c r="AK94" i="6"/>
  <c r="AL94" i="6"/>
  <c r="AM94" i="6"/>
  <c r="AN94" i="6"/>
  <c r="AO94" i="6"/>
  <c r="AO99" i="6" s="1"/>
  <c r="AP94" i="6"/>
  <c r="AQ94" i="6"/>
  <c r="AR94" i="6"/>
  <c r="AH95" i="6"/>
  <c r="AI95" i="6"/>
  <c r="AJ95" i="6"/>
  <c r="AJ99" i="6" s="1"/>
  <c r="AK95" i="6"/>
  <c r="AL95" i="6"/>
  <c r="AM95" i="6"/>
  <c r="AN95" i="6"/>
  <c r="AO95" i="6"/>
  <c r="AP95" i="6"/>
  <c r="AQ95" i="6"/>
  <c r="AR95" i="6"/>
  <c r="AH96" i="6"/>
  <c r="AI96" i="6"/>
  <c r="AJ96" i="6"/>
  <c r="AK96" i="6"/>
  <c r="AL96" i="6"/>
  <c r="AM96" i="6"/>
  <c r="AN96" i="6"/>
  <c r="AO96" i="6"/>
  <c r="AP96" i="6"/>
  <c r="AQ96" i="6"/>
  <c r="AR96" i="6"/>
  <c r="AR99" i="6" s="1"/>
  <c r="AS96" i="6"/>
  <c r="AS95" i="6"/>
  <c r="AS94" i="6"/>
  <c r="BF94" i="6"/>
  <c r="BG94" i="6"/>
  <c r="BH94" i="6"/>
  <c r="BI94" i="6"/>
  <c r="BJ94" i="6"/>
  <c r="BK94" i="6"/>
  <c r="BL94" i="6"/>
  <c r="BM94" i="6"/>
  <c r="BN94" i="6"/>
  <c r="BO94" i="6"/>
  <c r="BP94" i="6"/>
  <c r="BF95" i="6"/>
  <c r="BG95" i="6"/>
  <c r="BH95" i="6"/>
  <c r="BI95" i="6"/>
  <c r="BJ95" i="6"/>
  <c r="BK95" i="6"/>
  <c r="BL95" i="6"/>
  <c r="BM95" i="6"/>
  <c r="BN95" i="6"/>
  <c r="BO95" i="6"/>
  <c r="BP95" i="6"/>
  <c r="BF96" i="6"/>
  <c r="BG96" i="6"/>
  <c r="BH96" i="6"/>
  <c r="BI96" i="6"/>
  <c r="BJ96" i="6"/>
  <c r="BK96" i="6"/>
  <c r="BL96" i="6"/>
  <c r="BM96" i="6"/>
  <c r="BN96" i="6"/>
  <c r="BO96" i="6"/>
  <c r="BP96" i="6"/>
  <c r="CE22" i="6"/>
  <c r="CF22" i="6"/>
  <c r="CG22" i="6"/>
  <c r="CH22" i="6"/>
  <c r="CI22" i="6"/>
  <c r="CJ22" i="6"/>
  <c r="CK22" i="6"/>
  <c r="CL22" i="6"/>
  <c r="CM22" i="6"/>
  <c r="CE29" i="6"/>
  <c r="CF29" i="6"/>
  <c r="CG29" i="6"/>
  <c r="CH29" i="6"/>
  <c r="CI29" i="6"/>
  <c r="CJ29" i="6"/>
  <c r="CK29" i="6"/>
  <c r="CL29" i="6"/>
  <c r="CM29" i="6"/>
  <c r="CE36" i="6"/>
  <c r="CF36" i="6"/>
  <c r="CG36" i="6"/>
  <c r="CH36" i="6"/>
  <c r="CI36" i="6"/>
  <c r="CJ36" i="6"/>
  <c r="CK36" i="6"/>
  <c r="CL36" i="6"/>
  <c r="CM36" i="6"/>
  <c r="CE43" i="6"/>
  <c r="CF43" i="6"/>
  <c r="CG43" i="6"/>
  <c r="CH43" i="6"/>
  <c r="CI43" i="6"/>
  <c r="CJ43" i="6"/>
  <c r="CK43" i="6"/>
  <c r="CL43" i="6"/>
  <c r="CM43" i="6"/>
  <c r="CD43" i="6"/>
  <c r="CD36" i="6"/>
  <c r="CD29" i="6"/>
  <c r="CD22" i="6"/>
  <c r="CN127" i="6"/>
  <c r="CM127" i="6"/>
  <c r="CE127" i="6"/>
  <c r="CF127" i="6"/>
  <c r="CG127" i="6"/>
  <c r="CH127" i="6"/>
  <c r="CI127" i="6"/>
  <c r="CJ127" i="6"/>
  <c r="CK127" i="6"/>
  <c r="CL127" i="6"/>
  <c r="CE134" i="6"/>
  <c r="CF134" i="6"/>
  <c r="CG134" i="6"/>
  <c r="CH134" i="6"/>
  <c r="CI134" i="6"/>
  <c r="CJ134" i="6"/>
  <c r="CK134" i="6"/>
  <c r="CL134" i="6"/>
  <c r="CE141" i="6"/>
  <c r="CF141" i="6"/>
  <c r="CG141" i="6"/>
  <c r="CH141" i="6"/>
  <c r="CI141" i="6"/>
  <c r="CJ141" i="6"/>
  <c r="CK141" i="6"/>
  <c r="CL141" i="6"/>
  <c r="CD141" i="6"/>
  <c r="CD134" i="6"/>
  <c r="CD127" i="6"/>
  <c r="CE120" i="6"/>
  <c r="CF120" i="6"/>
  <c r="CG120" i="6"/>
  <c r="CH120" i="6"/>
  <c r="CI120" i="6"/>
  <c r="CJ120" i="6"/>
  <c r="CK120" i="6"/>
  <c r="CL120" i="6"/>
  <c r="CM120" i="6"/>
  <c r="CN120" i="6"/>
  <c r="CO120" i="6"/>
  <c r="CD120" i="6"/>
  <c r="CD113" i="6"/>
  <c r="CE113" i="6"/>
  <c r="CF113" i="6"/>
  <c r="CG113" i="6"/>
  <c r="CH113" i="6"/>
  <c r="CI113" i="6"/>
  <c r="CJ113" i="6"/>
  <c r="CK113" i="6"/>
  <c r="CL113" i="6"/>
  <c r="CM113" i="6"/>
  <c r="CD85" i="6"/>
  <c r="CD78" i="6"/>
  <c r="CD64" i="6"/>
  <c r="CD57" i="6"/>
  <c r="CD50" i="6"/>
  <c r="CD15" i="6"/>
  <c r="M85" i="6"/>
  <c r="N85" i="6"/>
  <c r="O85" i="6"/>
  <c r="P85" i="6"/>
  <c r="Q85" i="6"/>
  <c r="R85" i="6"/>
  <c r="S85" i="6"/>
  <c r="T85" i="6"/>
  <c r="U85" i="6"/>
  <c r="V85" i="6"/>
  <c r="W85" i="6"/>
  <c r="L85" i="6"/>
  <c r="M78" i="6"/>
  <c r="N78" i="6"/>
  <c r="O78" i="6"/>
  <c r="P78" i="6"/>
  <c r="Q78" i="6"/>
  <c r="R78" i="6"/>
  <c r="S78" i="6"/>
  <c r="T78" i="6"/>
  <c r="U78" i="6"/>
  <c r="V78" i="6"/>
  <c r="W78" i="6"/>
  <c r="L78" i="6"/>
  <c r="M71" i="6"/>
  <c r="N71" i="6"/>
  <c r="O71" i="6"/>
  <c r="P71" i="6"/>
  <c r="Q71" i="6"/>
  <c r="R71" i="6"/>
  <c r="S71" i="6"/>
  <c r="T71" i="6"/>
  <c r="U71" i="6"/>
  <c r="V71" i="6"/>
  <c r="W71" i="6"/>
  <c r="L71" i="6"/>
  <c r="M64" i="6"/>
  <c r="N64" i="6"/>
  <c r="O64" i="6"/>
  <c r="P64" i="6"/>
  <c r="Q64" i="6"/>
  <c r="R64" i="6"/>
  <c r="S64" i="6"/>
  <c r="T64" i="6"/>
  <c r="U64" i="6"/>
  <c r="V64" i="6"/>
  <c r="W64" i="6"/>
  <c r="L64" i="6"/>
  <c r="M57" i="6"/>
  <c r="N57" i="6"/>
  <c r="O57" i="6"/>
  <c r="P57" i="6"/>
  <c r="Q57" i="6"/>
  <c r="R57" i="6"/>
  <c r="S57" i="6"/>
  <c r="T57" i="6"/>
  <c r="U57" i="6"/>
  <c r="V57" i="6"/>
  <c r="W57" i="6"/>
  <c r="L57" i="6"/>
  <c r="M50" i="6"/>
  <c r="N50" i="6"/>
  <c r="O50" i="6"/>
  <c r="P50" i="6"/>
  <c r="Q50" i="6"/>
  <c r="R50" i="6"/>
  <c r="S50" i="6"/>
  <c r="T50" i="6"/>
  <c r="U50" i="6"/>
  <c r="V50" i="6"/>
  <c r="W50" i="6"/>
  <c r="L50" i="6"/>
  <c r="M43" i="6"/>
  <c r="N43" i="6"/>
  <c r="O43" i="6"/>
  <c r="P43" i="6"/>
  <c r="Q43" i="6"/>
  <c r="R43" i="6"/>
  <c r="S43" i="6"/>
  <c r="T43" i="6"/>
  <c r="U43" i="6"/>
  <c r="V43" i="6"/>
  <c r="W43" i="6"/>
  <c r="L43" i="6"/>
  <c r="M36" i="6"/>
  <c r="N36" i="6"/>
  <c r="O36" i="6"/>
  <c r="P36" i="6"/>
  <c r="Q36" i="6"/>
  <c r="R36" i="6"/>
  <c r="S36" i="6"/>
  <c r="T36" i="6"/>
  <c r="U36" i="6"/>
  <c r="V36" i="6"/>
  <c r="W36" i="6"/>
  <c r="L36" i="6"/>
  <c r="L29" i="6"/>
  <c r="L22" i="6"/>
  <c r="M22" i="6"/>
  <c r="N22" i="6"/>
  <c r="O22" i="6"/>
  <c r="P22" i="6"/>
  <c r="Q22" i="6"/>
  <c r="R22" i="6"/>
  <c r="S22" i="6"/>
  <c r="T22" i="6"/>
  <c r="U22" i="6"/>
  <c r="V22" i="6"/>
  <c r="W22" i="6"/>
  <c r="M15" i="6"/>
  <c r="N15" i="6"/>
  <c r="O15" i="6"/>
  <c r="Y15" i="6" s="1"/>
  <c r="P15" i="6"/>
  <c r="Q15" i="6"/>
  <c r="AA15" i="6" s="1"/>
  <c r="R15" i="6"/>
  <c r="AB15" i="6" s="1"/>
  <c r="S15" i="6"/>
  <c r="T15" i="6"/>
  <c r="AD15" i="6" s="1"/>
  <c r="U15" i="6"/>
  <c r="AE15" i="6" s="1"/>
  <c r="V15" i="6"/>
  <c r="AF15" i="6" s="1"/>
  <c r="W15" i="6"/>
  <c r="L15" i="6"/>
  <c r="AI127" i="6"/>
  <c r="AJ127" i="6"/>
  <c r="AK127" i="6"/>
  <c r="AL127" i="6"/>
  <c r="AM127" i="6"/>
  <c r="AN127" i="6"/>
  <c r="AO127" i="6"/>
  <c r="AP127" i="6"/>
  <c r="AQ127" i="6"/>
  <c r="AR127" i="6"/>
  <c r="AS127" i="6"/>
  <c r="AI134" i="6"/>
  <c r="AJ134" i="6"/>
  <c r="AK134" i="6"/>
  <c r="AL134" i="6"/>
  <c r="AM134" i="6"/>
  <c r="AN134" i="6"/>
  <c r="AO134" i="6"/>
  <c r="AP134" i="6"/>
  <c r="AQ134" i="6"/>
  <c r="AR134" i="6"/>
  <c r="AS134" i="6"/>
  <c r="AI141" i="6"/>
  <c r="AJ141" i="6"/>
  <c r="AK141" i="6"/>
  <c r="AL141" i="6"/>
  <c r="AM141" i="6"/>
  <c r="AN141" i="6"/>
  <c r="AO141" i="6"/>
  <c r="AP141" i="6"/>
  <c r="AQ141" i="6"/>
  <c r="AR141" i="6"/>
  <c r="AS141" i="6"/>
  <c r="AH127" i="6"/>
  <c r="AH134" i="6"/>
  <c r="AH141" i="6"/>
  <c r="AI120" i="6"/>
  <c r="AJ120" i="6"/>
  <c r="AK120" i="6"/>
  <c r="AL120" i="6"/>
  <c r="AM120" i="6"/>
  <c r="AN120" i="6"/>
  <c r="AO120" i="6"/>
  <c r="AP120" i="6"/>
  <c r="AQ120" i="6"/>
  <c r="AR120" i="6"/>
  <c r="AS120" i="6"/>
  <c r="AH120" i="6"/>
  <c r="AI113" i="6"/>
  <c r="AJ113" i="6"/>
  <c r="AK113" i="6"/>
  <c r="AL113" i="6"/>
  <c r="AM113" i="6"/>
  <c r="AN113" i="6"/>
  <c r="AO113" i="6"/>
  <c r="AP113" i="6"/>
  <c r="AQ113" i="6"/>
  <c r="AR113" i="6"/>
  <c r="AS113" i="6"/>
  <c r="AH113" i="6"/>
  <c r="AI106" i="6"/>
  <c r="AJ106" i="6"/>
  <c r="AK106" i="6"/>
  <c r="AL106" i="6"/>
  <c r="AM106" i="6"/>
  <c r="AN106" i="6"/>
  <c r="AO106" i="6"/>
  <c r="AP106" i="6"/>
  <c r="AQ106" i="6"/>
  <c r="AR106" i="6"/>
  <c r="AS106" i="6"/>
  <c r="AH106" i="6"/>
  <c r="AJ85" i="6"/>
  <c r="AK85" i="6"/>
  <c r="AL85" i="6"/>
  <c r="AM85" i="6"/>
  <c r="AN85" i="6"/>
  <c r="AO85" i="6"/>
  <c r="AP85" i="6"/>
  <c r="AQ85" i="6"/>
  <c r="AR85" i="6"/>
  <c r="AS85" i="6"/>
  <c r="AH85" i="6"/>
  <c r="AI85" i="6"/>
  <c r="AI78" i="6"/>
  <c r="AJ78" i="6"/>
  <c r="AK78" i="6"/>
  <c r="AL78" i="6"/>
  <c r="AM78" i="6"/>
  <c r="AN78" i="6"/>
  <c r="AO78" i="6"/>
  <c r="AP78" i="6"/>
  <c r="AQ78" i="6"/>
  <c r="AR78" i="6"/>
  <c r="AS78" i="6"/>
  <c r="AH78" i="6"/>
  <c r="AI71" i="6"/>
  <c r="AJ71" i="6"/>
  <c r="AK71" i="6"/>
  <c r="AL71" i="6"/>
  <c r="AN71" i="6"/>
  <c r="AO71" i="6"/>
  <c r="AP71" i="6"/>
  <c r="AQ71" i="6"/>
  <c r="AR71" i="6"/>
  <c r="AS71" i="6"/>
  <c r="AI64" i="6"/>
  <c r="AJ64" i="6"/>
  <c r="AK64" i="6"/>
  <c r="AL64" i="6"/>
  <c r="AM64" i="6"/>
  <c r="AN64" i="6"/>
  <c r="AO64" i="6"/>
  <c r="AP64" i="6"/>
  <c r="AQ64" i="6"/>
  <c r="AR64" i="6"/>
  <c r="AS64" i="6"/>
  <c r="AI50" i="6"/>
  <c r="AJ50" i="6"/>
  <c r="AK50" i="6"/>
  <c r="AL50" i="6"/>
  <c r="AM50" i="6"/>
  <c r="AN50" i="6"/>
  <c r="AO50" i="6"/>
  <c r="AP50" i="6"/>
  <c r="AQ50" i="6"/>
  <c r="AR50" i="6"/>
  <c r="AS50" i="6"/>
  <c r="AH50" i="6"/>
  <c r="AS43" i="6"/>
  <c r="AR43" i="6"/>
  <c r="AQ43" i="6"/>
  <c r="AP43" i="6"/>
  <c r="AO43" i="6"/>
  <c r="AN43" i="6"/>
  <c r="AM43" i="6"/>
  <c r="AL43" i="6"/>
  <c r="AS36" i="6"/>
  <c r="AR36" i="6"/>
  <c r="AQ36" i="6"/>
  <c r="AP36" i="6"/>
  <c r="AO36" i="6"/>
  <c r="AN36" i="6"/>
  <c r="AM36" i="6"/>
  <c r="AL36" i="6"/>
  <c r="AS29" i="6"/>
  <c r="AR29" i="6"/>
  <c r="AQ29" i="6"/>
  <c r="AP29" i="6"/>
  <c r="AO29" i="6"/>
  <c r="AN29" i="6"/>
  <c r="AM29" i="6"/>
  <c r="AL29" i="6"/>
  <c r="AI22" i="6"/>
  <c r="AJ22" i="6"/>
  <c r="AK22" i="6"/>
  <c r="AL22" i="6"/>
  <c r="AM22" i="6"/>
  <c r="AN22" i="6"/>
  <c r="AO22" i="6"/>
  <c r="AP22" i="6"/>
  <c r="AQ22" i="6"/>
  <c r="AR22" i="6"/>
  <c r="AS22" i="6"/>
  <c r="AH22" i="6"/>
  <c r="AI15" i="6"/>
  <c r="AU15" i="6" s="1"/>
  <c r="AJ15" i="6"/>
  <c r="AK15" i="6"/>
  <c r="AW15" i="6" s="1"/>
  <c r="AL15" i="6"/>
  <c r="AM15" i="6"/>
  <c r="AY15" i="6" s="1"/>
  <c r="AN15" i="6"/>
  <c r="AO15" i="6"/>
  <c r="BA15" i="6" s="1"/>
  <c r="AP15" i="6"/>
  <c r="BB15" i="6" s="1"/>
  <c r="AQ15" i="6"/>
  <c r="BC15" i="6" s="1"/>
  <c r="AR15" i="6"/>
  <c r="AS15" i="6"/>
  <c r="BG127" i="6"/>
  <c r="BH127" i="6"/>
  <c r="BI127" i="6"/>
  <c r="BJ127" i="6"/>
  <c r="BK127" i="6"/>
  <c r="BL127" i="6"/>
  <c r="BM127" i="6"/>
  <c r="BN127" i="6"/>
  <c r="BO127" i="6"/>
  <c r="BP127" i="6"/>
  <c r="BQ127" i="6"/>
  <c r="BG134" i="6"/>
  <c r="BH134" i="6"/>
  <c r="BI134" i="6"/>
  <c r="BJ134" i="6"/>
  <c r="BK134" i="6"/>
  <c r="BL134" i="6"/>
  <c r="BM134" i="6"/>
  <c r="BN134" i="6"/>
  <c r="BO134" i="6"/>
  <c r="BP134" i="6"/>
  <c r="BQ134" i="6"/>
  <c r="BG141" i="6"/>
  <c r="BH141" i="6"/>
  <c r="BI141" i="6"/>
  <c r="BJ141" i="6"/>
  <c r="BK141" i="6"/>
  <c r="BL141" i="6"/>
  <c r="BM141" i="6"/>
  <c r="BN141" i="6"/>
  <c r="BO141" i="6"/>
  <c r="BP141" i="6"/>
  <c r="BQ141" i="6"/>
  <c r="BF141" i="6"/>
  <c r="BF134" i="6"/>
  <c r="BF127" i="6"/>
  <c r="BG113" i="6"/>
  <c r="BH113" i="6"/>
  <c r="BI113" i="6"/>
  <c r="BJ113" i="6"/>
  <c r="BK113" i="6"/>
  <c r="BL113" i="6"/>
  <c r="BM113" i="6"/>
  <c r="BN113" i="6"/>
  <c r="BO113" i="6"/>
  <c r="BP113" i="6"/>
  <c r="BQ113" i="6"/>
  <c r="BF113" i="6"/>
  <c r="BF78" i="6"/>
  <c r="BG22" i="6"/>
  <c r="BH22" i="6"/>
  <c r="BI22" i="6"/>
  <c r="BJ22" i="6"/>
  <c r="BK22" i="6"/>
  <c r="BL22" i="6"/>
  <c r="BM22" i="6"/>
  <c r="BN22" i="6"/>
  <c r="BO22" i="6"/>
  <c r="BP22" i="6"/>
  <c r="BQ22" i="6"/>
  <c r="BG29" i="6"/>
  <c r="BH29" i="6"/>
  <c r="BI29" i="6"/>
  <c r="BJ29" i="6"/>
  <c r="BK29" i="6"/>
  <c r="BL29" i="6"/>
  <c r="BM29" i="6"/>
  <c r="BN29" i="6"/>
  <c r="BO29" i="6"/>
  <c r="BP29" i="6"/>
  <c r="BQ29" i="6"/>
  <c r="BG36" i="6"/>
  <c r="BH36" i="6"/>
  <c r="BI36" i="6"/>
  <c r="BJ36" i="6"/>
  <c r="BK36" i="6"/>
  <c r="BL36" i="6"/>
  <c r="BM36" i="6"/>
  <c r="BN36" i="6"/>
  <c r="BO36" i="6"/>
  <c r="BP36" i="6"/>
  <c r="BQ36" i="6"/>
  <c r="BG43" i="6"/>
  <c r="BH43" i="6"/>
  <c r="BI43" i="6"/>
  <c r="BJ43" i="6"/>
  <c r="BK43" i="6"/>
  <c r="BL43" i="6"/>
  <c r="BM43" i="6"/>
  <c r="BN43" i="6"/>
  <c r="BO43" i="6"/>
  <c r="BP43" i="6"/>
  <c r="BQ43" i="6"/>
  <c r="BF43" i="6"/>
  <c r="BF36" i="6"/>
  <c r="BF29" i="6"/>
  <c r="BF22" i="6"/>
  <c r="BR10" i="6"/>
  <c r="CE120" i="2" l="1"/>
  <c r="CQ120" i="2" s="1"/>
  <c r="CQ96" i="2"/>
  <c r="CQ99" i="2"/>
  <c r="CQ70" i="2"/>
  <c r="CQ68" i="2"/>
  <c r="CE71" i="2"/>
  <c r="CP66" i="2"/>
  <c r="CP68" i="2"/>
  <c r="CP71" i="2" s="1"/>
  <c r="CP70" i="2"/>
  <c r="CD71" i="2"/>
  <c r="DV78" i="6"/>
  <c r="CO68" i="2"/>
  <c r="CO67" i="2"/>
  <c r="CO69" i="2"/>
  <c r="CO71" i="2" s="1"/>
  <c r="CC71" i="2"/>
  <c r="CN66" i="2"/>
  <c r="CN68" i="2"/>
  <c r="CN70" i="2"/>
  <c r="CN71" i="2" s="1"/>
  <c r="CB71" i="2"/>
  <c r="CM67" i="2"/>
  <c r="CM70" i="2"/>
  <c r="CA71" i="2"/>
  <c r="CM69" i="2"/>
  <c r="CM71" i="2"/>
  <c r="CL67" i="2"/>
  <c r="CL69" i="2"/>
  <c r="CL66" i="2"/>
  <c r="CL68" i="2"/>
  <c r="CL70" i="2"/>
  <c r="CJ68" i="2"/>
  <c r="CJ70" i="2"/>
  <c r="CG68" i="2"/>
  <c r="CG70" i="2"/>
  <c r="BU99" i="2"/>
  <c r="CG99" i="2" s="1"/>
  <c r="CG67" i="2"/>
  <c r="CG69" i="2"/>
  <c r="CH66" i="2"/>
  <c r="CK70" i="2"/>
  <c r="BE15" i="6"/>
  <c r="BD15" i="6"/>
  <c r="AC15" i="6"/>
  <c r="AD22" i="6"/>
  <c r="Z36" i="6"/>
  <c r="X43" i="6"/>
  <c r="AF57" i="6"/>
  <c r="AD64" i="6"/>
  <c r="AB71" i="6"/>
  <c r="Z78" i="6"/>
  <c r="X85" i="6"/>
  <c r="AF113" i="6"/>
  <c r="AD120" i="6"/>
  <c r="AU22" i="6"/>
  <c r="BE22" i="6"/>
  <c r="AT50" i="6"/>
  <c r="BD120" i="6"/>
  <c r="AW113" i="6"/>
  <c r="AU113" i="6"/>
  <c r="BD141" i="6"/>
  <c r="BB134" i="6"/>
  <c r="BD22" i="6"/>
  <c r="BC43" i="6"/>
  <c r="BA43" i="6"/>
  <c r="BD57" i="6"/>
  <c r="AV71" i="6"/>
  <c r="AX78" i="6"/>
  <c r="AW78" i="6"/>
  <c r="BB120" i="6"/>
  <c r="BA134" i="6"/>
  <c r="AY134" i="6"/>
  <c r="AV127" i="6"/>
  <c r="CP113" i="6"/>
  <c r="F99" i="6"/>
  <c r="Z43" i="6"/>
  <c r="X50" i="6"/>
  <c r="AF64" i="6"/>
  <c r="AD71" i="6"/>
  <c r="AB78" i="6"/>
  <c r="Z99" i="6"/>
  <c r="X106" i="6"/>
  <c r="AF120" i="6"/>
  <c r="AD127" i="6"/>
  <c r="AB134" i="6"/>
  <c r="Z141" i="6"/>
  <c r="AW29" i="6"/>
  <c r="AU29" i="6"/>
  <c r="AX36" i="6"/>
  <c r="AZ43" i="6"/>
  <c r="BC50" i="6"/>
  <c r="BA50" i="6"/>
  <c r="AW64" i="6"/>
  <c r="AU71" i="6"/>
  <c r="BA120" i="6"/>
  <c r="BC141" i="6"/>
  <c r="AX134" i="6"/>
  <c r="AY43" i="6"/>
  <c r="AZ50" i="6"/>
  <c r="BE57" i="6"/>
  <c r="BA57" i="6"/>
  <c r="AU78" i="6"/>
  <c r="AX106" i="6"/>
  <c r="AW106" i="6"/>
  <c r="BA141" i="6"/>
  <c r="AZ15" i="6"/>
  <c r="Z50" i="6"/>
  <c r="X57" i="6"/>
  <c r="AF71" i="6"/>
  <c r="AD78" i="6"/>
  <c r="AB99" i="6"/>
  <c r="Z106" i="6"/>
  <c r="X113" i="6"/>
  <c r="AF127" i="6"/>
  <c r="BC22" i="6"/>
  <c r="BA22" i="6"/>
  <c r="AT36" i="6"/>
  <c r="BD64" i="6"/>
  <c r="AW85" i="6"/>
  <c r="AV106" i="6"/>
  <c r="AY120" i="6"/>
  <c r="BC113" i="6"/>
  <c r="BA113" i="6"/>
  <c r="AW134" i="6"/>
  <c r="DX120" i="6"/>
  <c r="AZ22" i="6"/>
  <c r="BD29" i="6"/>
  <c r="BB29" i="6"/>
  <c r="AV36" i="6"/>
  <c r="AT43" i="6"/>
  <c r="AX43" i="6"/>
  <c r="BB64" i="6"/>
  <c r="BD71" i="6"/>
  <c r="BB71" i="6"/>
  <c r="BE78" i="6"/>
  <c r="AZ113" i="6"/>
  <c r="AV134" i="6"/>
  <c r="AU134" i="6"/>
  <c r="DY78" i="6"/>
  <c r="DU78" i="6"/>
  <c r="AX15" i="6"/>
  <c r="X22" i="6"/>
  <c r="AF36" i="6"/>
  <c r="AD43" i="6"/>
  <c r="BA29" i="6"/>
  <c r="AW36" i="6"/>
  <c r="AU36" i="6"/>
  <c r="AX50" i="6"/>
  <c r="AX57" i="6"/>
  <c r="BC64" i="6"/>
  <c r="BA64" i="6"/>
  <c r="BC71" i="6"/>
  <c r="BA71" i="6"/>
  <c r="BD78" i="6"/>
  <c r="AX120" i="6"/>
  <c r="BB113" i="6"/>
  <c r="AZ141" i="6"/>
  <c r="BD127" i="6"/>
  <c r="DT78" i="6"/>
  <c r="AW141" i="6"/>
  <c r="BA127" i="6"/>
  <c r="AV15" i="6"/>
  <c r="AG15" i="6"/>
  <c r="AY22" i="6"/>
  <c r="AX22" i="6"/>
  <c r="AW22" i="6"/>
  <c r="AV50" i="6"/>
  <c r="AY64" i="6"/>
  <c r="BA99" i="6"/>
  <c r="BD106" i="6"/>
  <c r="AV120" i="6"/>
  <c r="AX113" i="6"/>
  <c r="AV141" i="6"/>
  <c r="BE134" i="6"/>
  <c r="AZ127" i="6"/>
  <c r="DT120" i="6"/>
  <c r="AX29" i="6"/>
  <c r="BB36" i="6"/>
  <c r="AW43" i="6"/>
  <c r="AU43" i="6"/>
  <c r="AT57" i="6"/>
  <c r="AV57" i="6"/>
  <c r="BB78" i="6"/>
  <c r="BA78" i="6"/>
  <c r="BC106" i="6"/>
  <c r="AV113" i="6"/>
  <c r="BD134" i="6"/>
  <c r="BC134" i="6"/>
  <c r="DS78" i="6"/>
  <c r="DS120" i="6"/>
  <c r="AF50" i="6"/>
  <c r="AD57" i="6"/>
  <c r="AB64" i="6"/>
  <c r="Z71" i="6"/>
  <c r="X78" i="6"/>
  <c r="AZ29" i="6"/>
  <c r="BC36" i="6"/>
  <c r="BA36" i="6"/>
  <c r="BE43" i="6"/>
  <c r="AX64" i="6"/>
  <c r="AZ71" i="6"/>
  <c r="AX71" i="6"/>
  <c r="AZ78" i="6"/>
  <c r="AU120" i="6"/>
  <c r="AU141" i="6"/>
  <c r="AY127" i="6"/>
  <c r="DR120" i="6"/>
  <c r="AP99" i="6"/>
  <c r="AW57" i="6"/>
  <c r="AX127" i="6"/>
  <c r="AW127" i="6"/>
  <c r="DR78" i="6"/>
  <c r="CK69" i="2"/>
  <c r="CK68" i="2"/>
  <c r="CK67" i="2"/>
  <c r="CK66" i="2"/>
  <c r="DQ78" i="6"/>
  <c r="CJ69" i="2"/>
  <c r="CJ67" i="2"/>
  <c r="CJ66" i="2"/>
  <c r="DP78" i="6"/>
  <c r="CI70" i="2"/>
  <c r="CI69" i="2"/>
  <c r="CI67" i="2"/>
  <c r="DO78" i="6"/>
  <c r="CH70" i="2"/>
  <c r="CH69" i="2"/>
  <c r="CH68" i="2"/>
  <c r="CH67" i="2"/>
  <c r="DN78" i="6"/>
  <c r="CG94" i="2"/>
  <c r="CG66" i="2"/>
  <c r="CG71" i="2"/>
  <c r="CQ71" i="2"/>
  <c r="BY99" i="2"/>
  <c r="CC99" i="2"/>
  <c r="CD99" i="2"/>
  <c r="BV71" i="2"/>
  <c r="BU120" i="2"/>
  <c r="CG120" i="2" s="1"/>
  <c r="BX71" i="2"/>
  <c r="BW71" i="2"/>
  <c r="BX99" i="2"/>
  <c r="BW99" i="2"/>
  <c r="CH50" i="2"/>
  <c r="CD50" i="2"/>
  <c r="CP50" i="2" s="1"/>
  <c r="BY66" i="2"/>
  <c r="BU85" i="2"/>
  <c r="CG85" i="2" s="1"/>
  <c r="CC85" i="2"/>
  <c r="CO85" i="2" s="1"/>
  <c r="BV95" i="2"/>
  <c r="CH95" i="2" s="1"/>
  <c r="CE50" i="2"/>
  <c r="CQ50" i="2" s="1"/>
  <c r="BX50" i="2"/>
  <c r="CJ50" i="2" s="1"/>
  <c r="BY67" i="2"/>
  <c r="CA94" i="2"/>
  <c r="BX85" i="2"/>
  <c r="CJ85" i="2" s="1"/>
  <c r="BU66" i="2"/>
  <c r="BU71" i="2" s="1"/>
  <c r="CB95" i="2"/>
  <c r="CN95" i="2" s="1"/>
  <c r="BE85" i="6"/>
  <c r="AZ99" i="6"/>
  <c r="AX99" i="6"/>
  <c r="AU85" i="6"/>
  <c r="BC85" i="6"/>
  <c r="AY99" i="6"/>
  <c r="AT99" i="6"/>
  <c r="BB99" i="6"/>
  <c r="AV99" i="6"/>
  <c r="BD99" i="6"/>
  <c r="BJ99" i="6"/>
  <c r="X29" i="6"/>
  <c r="AF29" i="6"/>
  <c r="AD36" i="6"/>
  <c r="AX85" i="6"/>
  <c r="AU94" i="6"/>
  <c r="AU99" i="6" s="1"/>
  <c r="AZ85" i="6"/>
  <c r="AY85" i="6"/>
  <c r="BA85" i="6"/>
  <c r="AW94" i="6"/>
  <c r="AW99" i="6" s="1"/>
  <c r="BE94" i="6"/>
  <c r="BE99" i="6" s="1"/>
  <c r="BC94" i="6"/>
  <c r="BC99" i="6" s="1"/>
  <c r="BK99" i="6"/>
  <c r="AB29" i="6"/>
  <c r="AT85" i="6"/>
  <c r="BB85" i="6"/>
  <c r="AS99" i="6"/>
  <c r="Q99" i="6"/>
  <c r="AF22" i="6"/>
  <c r="AD29" i="6"/>
  <c r="AB36" i="6"/>
  <c r="AV85" i="6"/>
  <c r="BD85" i="6"/>
  <c r="AH99" i="6"/>
  <c r="AK99" i="6"/>
  <c r="Y22" i="6"/>
  <c r="AG22" i="6"/>
  <c r="AE29" i="6"/>
  <c r="AC36" i="6"/>
  <c r="AA36" i="6"/>
  <c r="Y50" i="6"/>
  <c r="AG50" i="6"/>
  <c r="AE57" i="6"/>
  <c r="AC64" i="6"/>
  <c r="AA64" i="6"/>
  <c r="Y78" i="6"/>
  <c r="AG78" i="6"/>
  <c r="AE85" i="6"/>
  <c r="AC106" i="6"/>
  <c r="AA106" i="6"/>
  <c r="Y120" i="6"/>
  <c r="AG120" i="6"/>
  <c r="AE127" i="6"/>
  <c r="AC134" i="6"/>
  <c r="AA134" i="6"/>
  <c r="X15" i="6"/>
  <c r="U99" i="6"/>
  <c r="E99" i="6"/>
  <c r="CU113" i="6"/>
  <c r="CX113" i="6"/>
  <c r="AD134" i="6"/>
  <c r="AB141" i="6"/>
  <c r="S99" i="6"/>
  <c r="CZ113" i="6"/>
  <c r="CR113" i="6"/>
  <c r="Y29" i="6"/>
  <c r="AG29" i="6"/>
  <c r="AE36" i="6"/>
  <c r="AC43" i="6"/>
  <c r="AA43" i="6"/>
  <c r="Y57" i="6"/>
  <c r="AG57" i="6"/>
  <c r="AE64" i="6"/>
  <c r="AC71" i="6"/>
  <c r="AA71" i="6"/>
  <c r="Y85" i="6"/>
  <c r="AG85" i="6"/>
  <c r="AE106" i="6"/>
  <c r="AC113" i="6"/>
  <c r="AA113" i="6"/>
  <c r="Y127" i="6"/>
  <c r="AG127" i="6"/>
  <c r="AE134" i="6"/>
  <c r="AC141" i="6"/>
  <c r="AA141" i="6"/>
  <c r="L99" i="6"/>
  <c r="X134" i="6"/>
  <c r="AF134" i="6"/>
  <c r="AD141" i="6"/>
  <c r="B99" i="6"/>
  <c r="J99" i="6"/>
  <c r="AC22" i="6"/>
  <c r="AA22" i="6"/>
  <c r="Y36" i="6"/>
  <c r="AG36" i="6"/>
  <c r="AE43" i="6"/>
  <c r="AC50" i="6"/>
  <c r="AA50" i="6"/>
  <c r="Y64" i="6"/>
  <c r="AG64" i="6"/>
  <c r="AE71" i="6"/>
  <c r="AC78" i="6"/>
  <c r="AA78" i="6"/>
  <c r="AA99" i="6"/>
  <c r="Y106" i="6"/>
  <c r="AG106" i="6"/>
  <c r="AE113" i="6"/>
  <c r="AC120" i="6"/>
  <c r="AA120" i="6"/>
  <c r="Y134" i="6"/>
  <c r="AG134" i="6"/>
  <c r="AE141" i="6"/>
  <c r="Z15" i="6"/>
  <c r="CW113" i="6"/>
  <c r="AB127" i="6"/>
  <c r="Z134" i="6"/>
  <c r="X141" i="6"/>
  <c r="AF141" i="6"/>
  <c r="AE22" i="6"/>
  <c r="AC29" i="6"/>
  <c r="AA29" i="6"/>
  <c r="Y43" i="6"/>
  <c r="AG43" i="6"/>
  <c r="AE50" i="6"/>
  <c r="AC57" i="6"/>
  <c r="AA57" i="6"/>
  <c r="Y71" i="6"/>
  <c r="AG71" i="6"/>
  <c r="AE78" i="6"/>
  <c r="AC99" i="6"/>
  <c r="Y113" i="6"/>
  <c r="AG113" i="6"/>
  <c r="AE120" i="6"/>
  <c r="AC127" i="6"/>
  <c r="AA127" i="6"/>
  <c r="Y141" i="6"/>
  <c r="AG141" i="6"/>
  <c r="BM99" i="6"/>
  <c r="BP99" i="6"/>
  <c r="BH99" i="6"/>
  <c r="M99" i="6"/>
  <c r="D99" i="6"/>
  <c r="Z85" i="6"/>
  <c r="AD94" i="6"/>
  <c r="AD99" i="6" s="1"/>
  <c r="AE94" i="6"/>
  <c r="AE99" i="6" s="1"/>
  <c r="AB85" i="6"/>
  <c r="X94" i="6"/>
  <c r="X99" i="6" s="1"/>
  <c r="AF94" i="6"/>
  <c r="AF99" i="6" s="1"/>
  <c r="G99" i="6"/>
  <c r="AC85" i="6"/>
  <c r="Y94" i="6"/>
  <c r="Y99" i="6" s="1"/>
  <c r="AG94" i="6"/>
  <c r="AG99" i="6" s="1"/>
  <c r="BO99" i="6"/>
  <c r="BG99" i="6"/>
  <c r="AN99" i="6"/>
  <c r="AQ99" i="6"/>
  <c r="AI99" i="6"/>
  <c r="P99" i="6"/>
  <c r="CY113" i="6"/>
  <c r="CQ113" i="6"/>
  <c r="H99" i="6"/>
  <c r="AA85" i="6"/>
  <c r="AM99" i="6"/>
  <c r="V99" i="6"/>
  <c r="N99" i="6"/>
  <c r="I99" i="6"/>
  <c r="AL99" i="6"/>
  <c r="DA113" i="6"/>
  <c r="CS113" i="6"/>
  <c r="CT113" i="6"/>
  <c r="BN99" i="6"/>
  <c r="BF99" i="6"/>
  <c r="BI99" i="6"/>
  <c r="BL99" i="6"/>
  <c r="T99" i="6"/>
  <c r="CV113" i="6"/>
  <c r="C99" i="6"/>
  <c r="K99" i="6"/>
  <c r="BF115" i="6"/>
  <c r="BQ119" i="6"/>
  <c r="CC119" i="6" s="1"/>
  <c r="BP119" i="6"/>
  <c r="CB119" i="6" s="1"/>
  <c r="BO119" i="6"/>
  <c r="CA119" i="6" s="1"/>
  <c r="BN119" i="6"/>
  <c r="BZ119" i="6" s="1"/>
  <c r="BM119" i="6"/>
  <c r="BY119" i="6" s="1"/>
  <c r="BL119" i="6"/>
  <c r="BX119" i="6" s="1"/>
  <c r="BK119" i="6"/>
  <c r="BW119" i="6" s="1"/>
  <c r="BJ119" i="6"/>
  <c r="BV119" i="6" s="1"/>
  <c r="BI119" i="6"/>
  <c r="BU119" i="6" s="1"/>
  <c r="BH119" i="6"/>
  <c r="BT119" i="6" s="1"/>
  <c r="BG119" i="6"/>
  <c r="BS119" i="6" s="1"/>
  <c r="BF119" i="6"/>
  <c r="BR119" i="6" s="1"/>
  <c r="BQ118" i="6"/>
  <c r="BP118" i="6"/>
  <c r="CB118" i="6" s="1"/>
  <c r="BO118" i="6"/>
  <c r="CA118" i="6" s="1"/>
  <c r="BN118" i="6"/>
  <c r="BZ118" i="6" s="1"/>
  <c r="BM118" i="6"/>
  <c r="BY118" i="6" s="1"/>
  <c r="BL118" i="6"/>
  <c r="BX118" i="6" s="1"/>
  <c r="BK118" i="6"/>
  <c r="BW118" i="6" s="1"/>
  <c r="BJ118" i="6"/>
  <c r="BV118" i="6" s="1"/>
  <c r="BI118" i="6"/>
  <c r="BU118" i="6" s="1"/>
  <c r="BH118" i="6"/>
  <c r="BT118" i="6" s="1"/>
  <c r="BG118" i="6"/>
  <c r="BS118" i="6" s="1"/>
  <c r="BF118" i="6"/>
  <c r="BR118" i="6" s="1"/>
  <c r="BQ117" i="6"/>
  <c r="BP117" i="6"/>
  <c r="CB117" i="6" s="1"/>
  <c r="BO117" i="6"/>
  <c r="CA117" i="6" s="1"/>
  <c r="BN117" i="6"/>
  <c r="BZ117" i="6" s="1"/>
  <c r="BM117" i="6"/>
  <c r="BY117" i="6" s="1"/>
  <c r="BL117" i="6"/>
  <c r="BX117" i="6" s="1"/>
  <c r="BK117" i="6"/>
  <c r="BW117" i="6" s="1"/>
  <c r="BJ117" i="6"/>
  <c r="BV117" i="6" s="1"/>
  <c r="BI117" i="6"/>
  <c r="BU117" i="6" s="1"/>
  <c r="BH117" i="6"/>
  <c r="BT117" i="6" s="1"/>
  <c r="BG117" i="6"/>
  <c r="BS117" i="6" s="1"/>
  <c r="BF117" i="6"/>
  <c r="BR117" i="6" s="1"/>
  <c r="BQ116" i="6"/>
  <c r="CC116" i="6" s="1"/>
  <c r="BP116" i="6"/>
  <c r="CB116" i="6" s="1"/>
  <c r="BO116" i="6"/>
  <c r="CA116" i="6" s="1"/>
  <c r="BN116" i="6"/>
  <c r="BZ116" i="6" s="1"/>
  <c r="BM116" i="6"/>
  <c r="BY116" i="6" s="1"/>
  <c r="BL116" i="6"/>
  <c r="BX116" i="6" s="1"/>
  <c r="BK116" i="6"/>
  <c r="BW116" i="6" s="1"/>
  <c r="BJ116" i="6"/>
  <c r="BV116" i="6" s="1"/>
  <c r="BI116" i="6"/>
  <c r="BH116" i="6"/>
  <c r="BT116" i="6" s="1"/>
  <c r="BG116" i="6"/>
  <c r="BS116" i="6" s="1"/>
  <c r="BF116" i="6"/>
  <c r="BR116" i="6" s="1"/>
  <c r="BQ115" i="6"/>
  <c r="CC115" i="6" s="1"/>
  <c r="BP115" i="6"/>
  <c r="BO115" i="6"/>
  <c r="BN115" i="6"/>
  <c r="BZ115" i="6" s="1"/>
  <c r="BM115" i="6"/>
  <c r="BL115" i="6"/>
  <c r="BX115" i="6" s="1"/>
  <c r="BK115" i="6"/>
  <c r="BW115" i="6" s="1"/>
  <c r="BJ115" i="6"/>
  <c r="BV115" i="6" s="1"/>
  <c r="BI115" i="6"/>
  <c r="BU115" i="6" s="1"/>
  <c r="BH115" i="6"/>
  <c r="BG115" i="6"/>
  <c r="BS136" i="6"/>
  <c r="BT136" i="6"/>
  <c r="BU136" i="6"/>
  <c r="BV136" i="6"/>
  <c r="BW136" i="6"/>
  <c r="BX136" i="6"/>
  <c r="BY136" i="6"/>
  <c r="BZ136" i="6"/>
  <c r="CA136" i="6"/>
  <c r="CB136" i="6"/>
  <c r="CC136" i="6"/>
  <c r="BS137" i="6"/>
  <c r="BT137" i="6"/>
  <c r="BU137" i="6"/>
  <c r="BV137" i="6"/>
  <c r="BW137" i="6"/>
  <c r="BX137" i="6"/>
  <c r="BY137" i="6"/>
  <c r="BZ137" i="6"/>
  <c r="CA137" i="6"/>
  <c r="CB137" i="6"/>
  <c r="CC137" i="6"/>
  <c r="BS138" i="6"/>
  <c r="BT138" i="6"/>
  <c r="BU138" i="6"/>
  <c r="BV138" i="6"/>
  <c r="BW138" i="6"/>
  <c r="BX138" i="6"/>
  <c r="BY138" i="6"/>
  <c r="BZ138" i="6"/>
  <c r="CA138" i="6"/>
  <c r="CB138" i="6"/>
  <c r="CC138" i="6"/>
  <c r="BS139" i="6"/>
  <c r="BT139" i="6"/>
  <c r="BU139" i="6"/>
  <c r="BV139" i="6"/>
  <c r="BW139" i="6"/>
  <c r="BX139" i="6"/>
  <c r="BY139" i="6"/>
  <c r="BZ139" i="6"/>
  <c r="CA139" i="6"/>
  <c r="CB139" i="6"/>
  <c r="CC139" i="6"/>
  <c r="BS140" i="6"/>
  <c r="BT140" i="6"/>
  <c r="BU140" i="6"/>
  <c r="BV140" i="6"/>
  <c r="BW140" i="6"/>
  <c r="BX140" i="6"/>
  <c r="BY140" i="6"/>
  <c r="BZ140" i="6"/>
  <c r="CA140" i="6"/>
  <c r="CB140" i="6"/>
  <c r="CC140" i="6"/>
  <c r="BR140" i="6"/>
  <c r="BR139" i="6"/>
  <c r="BR138" i="6"/>
  <c r="BR137" i="6"/>
  <c r="BR136" i="6"/>
  <c r="BS129" i="6"/>
  <c r="BT129" i="6"/>
  <c r="BU129" i="6"/>
  <c r="BV129" i="6"/>
  <c r="BW129" i="6"/>
  <c r="BX129" i="6"/>
  <c r="BY129" i="6"/>
  <c r="BZ129" i="6"/>
  <c r="CA129" i="6"/>
  <c r="CB129" i="6"/>
  <c r="CC129" i="6"/>
  <c r="BS130" i="6"/>
  <c r="BT130" i="6"/>
  <c r="BU130" i="6"/>
  <c r="BV130" i="6"/>
  <c r="BW130" i="6"/>
  <c r="BX130" i="6"/>
  <c r="BY130" i="6"/>
  <c r="BZ130" i="6"/>
  <c r="CA130" i="6"/>
  <c r="CB130" i="6"/>
  <c r="CC130" i="6"/>
  <c r="BS131" i="6"/>
  <c r="BT131" i="6"/>
  <c r="BU131" i="6"/>
  <c r="BV131" i="6"/>
  <c r="BW131" i="6"/>
  <c r="BX131" i="6"/>
  <c r="BY131" i="6"/>
  <c r="BZ131" i="6"/>
  <c r="CA131" i="6"/>
  <c r="CB131" i="6"/>
  <c r="CC131" i="6"/>
  <c r="BS132" i="6"/>
  <c r="BT132" i="6"/>
  <c r="BU132" i="6"/>
  <c r="BV132" i="6"/>
  <c r="BW132" i="6"/>
  <c r="BX132" i="6"/>
  <c r="BY132" i="6"/>
  <c r="BZ132" i="6"/>
  <c r="CA132" i="6"/>
  <c r="CB132" i="6"/>
  <c r="CC132" i="6"/>
  <c r="BS133" i="6"/>
  <c r="BT133" i="6"/>
  <c r="BU133" i="6"/>
  <c r="BV133" i="6"/>
  <c r="BW133" i="6"/>
  <c r="BX133" i="6"/>
  <c r="BY133" i="6"/>
  <c r="BZ133" i="6"/>
  <c r="CA133" i="6"/>
  <c r="CB133" i="6"/>
  <c r="CC133" i="6"/>
  <c r="BR133" i="6"/>
  <c r="BR132" i="6"/>
  <c r="BR131" i="6"/>
  <c r="BR130" i="6"/>
  <c r="BR129" i="6"/>
  <c r="BS122" i="6"/>
  <c r="BT122" i="6"/>
  <c r="BU122" i="6"/>
  <c r="BV122" i="6"/>
  <c r="BW122" i="6"/>
  <c r="BX122" i="6"/>
  <c r="BY122" i="6"/>
  <c r="BZ122" i="6"/>
  <c r="CA122" i="6"/>
  <c r="CB122" i="6"/>
  <c r="CC122" i="6"/>
  <c r="BS123" i="6"/>
  <c r="BT123" i="6"/>
  <c r="BU123" i="6"/>
  <c r="BV123" i="6"/>
  <c r="BW123" i="6"/>
  <c r="BX123" i="6"/>
  <c r="BY123" i="6"/>
  <c r="BZ123" i="6"/>
  <c r="CA123" i="6"/>
  <c r="CB123" i="6"/>
  <c r="CC123" i="6"/>
  <c r="BS124" i="6"/>
  <c r="BT124" i="6"/>
  <c r="BU124" i="6"/>
  <c r="BV124" i="6"/>
  <c r="BW124" i="6"/>
  <c r="BX124" i="6"/>
  <c r="BY124" i="6"/>
  <c r="BZ124" i="6"/>
  <c r="CA124" i="6"/>
  <c r="CB124" i="6"/>
  <c r="CC124" i="6"/>
  <c r="BS125" i="6"/>
  <c r="BT125" i="6"/>
  <c r="BU125" i="6"/>
  <c r="BV125" i="6"/>
  <c r="BW125" i="6"/>
  <c r="BX125" i="6"/>
  <c r="BY125" i="6"/>
  <c r="BZ125" i="6"/>
  <c r="CA125" i="6"/>
  <c r="CB125" i="6"/>
  <c r="CC125" i="6"/>
  <c r="BS126" i="6"/>
  <c r="BT126" i="6"/>
  <c r="BU126" i="6"/>
  <c r="BV126" i="6"/>
  <c r="BW126" i="6"/>
  <c r="BX126" i="6"/>
  <c r="BY126" i="6"/>
  <c r="BZ126" i="6"/>
  <c r="CA126" i="6"/>
  <c r="CB126" i="6"/>
  <c r="CC126" i="6"/>
  <c r="BR123" i="6"/>
  <c r="BR124" i="6"/>
  <c r="BR125" i="6"/>
  <c r="BR126" i="6"/>
  <c r="BR122" i="6"/>
  <c r="CC117" i="6"/>
  <c r="CC118" i="6"/>
  <c r="BR115" i="6"/>
  <c r="BR108" i="6"/>
  <c r="BS108" i="6"/>
  <c r="BT108" i="6"/>
  <c r="BU108" i="6"/>
  <c r="BV108" i="6"/>
  <c r="BW108" i="6"/>
  <c r="BX108" i="6"/>
  <c r="BY108" i="6"/>
  <c r="BZ108" i="6"/>
  <c r="CA108" i="6"/>
  <c r="CB108" i="6"/>
  <c r="CC108" i="6"/>
  <c r="BS109" i="6"/>
  <c r="BT109" i="6"/>
  <c r="BU109" i="6"/>
  <c r="BV109" i="6"/>
  <c r="BW109" i="6"/>
  <c r="BX109" i="6"/>
  <c r="BY109" i="6"/>
  <c r="BZ109" i="6"/>
  <c r="CA109" i="6"/>
  <c r="CB109" i="6"/>
  <c r="CC109" i="6"/>
  <c r="BS110" i="6"/>
  <c r="BT110" i="6"/>
  <c r="BU110" i="6"/>
  <c r="BV110" i="6"/>
  <c r="BW110" i="6"/>
  <c r="BX110" i="6"/>
  <c r="BY110" i="6"/>
  <c r="BZ110" i="6"/>
  <c r="CA110" i="6"/>
  <c r="CB110" i="6"/>
  <c r="CC110" i="6"/>
  <c r="BS111" i="6"/>
  <c r="BT111" i="6"/>
  <c r="BU111" i="6"/>
  <c r="BV111" i="6"/>
  <c r="BW111" i="6"/>
  <c r="BX111" i="6"/>
  <c r="BY111" i="6"/>
  <c r="BZ111" i="6"/>
  <c r="CA111" i="6"/>
  <c r="CB111" i="6"/>
  <c r="CC111" i="6"/>
  <c r="BS112" i="6"/>
  <c r="BT112" i="6"/>
  <c r="BU112" i="6"/>
  <c r="BV112" i="6"/>
  <c r="BW112" i="6"/>
  <c r="BX112" i="6"/>
  <c r="BY112" i="6"/>
  <c r="BZ112" i="6"/>
  <c r="CA112" i="6"/>
  <c r="CB112" i="6"/>
  <c r="CC112" i="6"/>
  <c r="BR109" i="6"/>
  <c r="BR110" i="6"/>
  <c r="BR111" i="6"/>
  <c r="BR112" i="6"/>
  <c r="BS101" i="6"/>
  <c r="BT101" i="6"/>
  <c r="BU101" i="6"/>
  <c r="BV101" i="6"/>
  <c r="BW101" i="6"/>
  <c r="BX101" i="6"/>
  <c r="BY101" i="6"/>
  <c r="BZ101" i="6"/>
  <c r="CA101" i="6"/>
  <c r="CB101" i="6"/>
  <c r="CC101" i="6"/>
  <c r="BS102" i="6"/>
  <c r="BT102" i="6"/>
  <c r="BU102" i="6"/>
  <c r="BV102" i="6"/>
  <c r="BW102" i="6"/>
  <c r="BX102" i="6"/>
  <c r="BY102" i="6"/>
  <c r="BZ102" i="6"/>
  <c r="CA102" i="6"/>
  <c r="CB102" i="6"/>
  <c r="CC102" i="6"/>
  <c r="BS103" i="6"/>
  <c r="BT103" i="6"/>
  <c r="BU103" i="6"/>
  <c r="BV103" i="6"/>
  <c r="BW103" i="6"/>
  <c r="BX103" i="6"/>
  <c r="BY103" i="6"/>
  <c r="BZ103" i="6"/>
  <c r="CA103" i="6"/>
  <c r="CB103" i="6"/>
  <c r="CC103" i="6"/>
  <c r="BS104" i="6"/>
  <c r="BT104" i="6"/>
  <c r="BU104" i="6"/>
  <c r="BV104" i="6"/>
  <c r="BW104" i="6"/>
  <c r="BX104" i="6"/>
  <c r="BY104" i="6"/>
  <c r="BZ104" i="6"/>
  <c r="CA104" i="6"/>
  <c r="CB104" i="6"/>
  <c r="CC104" i="6"/>
  <c r="BS105" i="6"/>
  <c r="BT105" i="6"/>
  <c r="BU105" i="6"/>
  <c r="BV105" i="6"/>
  <c r="BW105" i="6"/>
  <c r="BX105" i="6"/>
  <c r="BY105" i="6"/>
  <c r="BZ105" i="6"/>
  <c r="CA105" i="6"/>
  <c r="CB105" i="6"/>
  <c r="CC105" i="6"/>
  <c r="BR102" i="6"/>
  <c r="BR103" i="6"/>
  <c r="BR104" i="6"/>
  <c r="BR105" i="6"/>
  <c r="BR101" i="6"/>
  <c r="BS80" i="6"/>
  <c r="BS94" i="6" s="1"/>
  <c r="BT80" i="6"/>
  <c r="BT94" i="6" s="1"/>
  <c r="BU80" i="6"/>
  <c r="BU94" i="6" s="1"/>
  <c r="BV80" i="6"/>
  <c r="BV94" i="6" s="1"/>
  <c r="BW80" i="6"/>
  <c r="BW94" i="6" s="1"/>
  <c r="BX80" i="6"/>
  <c r="BY80" i="6"/>
  <c r="BY94" i="6" s="1"/>
  <c r="BZ80" i="6"/>
  <c r="BZ94" i="6" s="1"/>
  <c r="CA80" i="6"/>
  <c r="CA94" i="6" s="1"/>
  <c r="CB80" i="6"/>
  <c r="CB94" i="6" s="1"/>
  <c r="CC80" i="6"/>
  <c r="CC94" i="6" s="1"/>
  <c r="BS81" i="6"/>
  <c r="BS95" i="6" s="1"/>
  <c r="BT81" i="6"/>
  <c r="BT95" i="6" s="1"/>
  <c r="BU81" i="6"/>
  <c r="BU95" i="6" s="1"/>
  <c r="BV81" i="6"/>
  <c r="BV95" i="6" s="1"/>
  <c r="BW81" i="6"/>
  <c r="BW95" i="6" s="1"/>
  <c r="BX81" i="6"/>
  <c r="BX95" i="6" s="1"/>
  <c r="BY81" i="6"/>
  <c r="BY95" i="6" s="1"/>
  <c r="BZ81" i="6"/>
  <c r="BZ95" i="6" s="1"/>
  <c r="CA81" i="6"/>
  <c r="CA95" i="6" s="1"/>
  <c r="CB81" i="6"/>
  <c r="CB95" i="6" s="1"/>
  <c r="CC81" i="6"/>
  <c r="CC95" i="6" s="1"/>
  <c r="BS82" i="6"/>
  <c r="BS96" i="6" s="1"/>
  <c r="BT82" i="6"/>
  <c r="BT96" i="6" s="1"/>
  <c r="BU82" i="6"/>
  <c r="BU96" i="6" s="1"/>
  <c r="BV82" i="6"/>
  <c r="BV96" i="6" s="1"/>
  <c r="BW82" i="6"/>
  <c r="BW96" i="6" s="1"/>
  <c r="BX82" i="6"/>
  <c r="BX96" i="6" s="1"/>
  <c r="BY82" i="6"/>
  <c r="BY96" i="6" s="1"/>
  <c r="BZ82" i="6"/>
  <c r="BZ96" i="6" s="1"/>
  <c r="CA82" i="6"/>
  <c r="CA96" i="6" s="1"/>
  <c r="CB82" i="6"/>
  <c r="CB96" i="6" s="1"/>
  <c r="CC82" i="6"/>
  <c r="CC96" i="6" s="1"/>
  <c r="BS83" i="6"/>
  <c r="BS97" i="6" s="1"/>
  <c r="BT83" i="6"/>
  <c r="BT97" i="6" s="1"/>
  <c r="BU83" i="6"/>
  <c r="BU97" i="6" s="1"/>
  <c r="BV83" i="6"/>
  <c r="BV97" i="6" s="1"/>
  <c r="BW83" i="6"/>
  <c r="BW97" i="6" s="1"/>
  <c r="BX83" i="6"/>
  <c r="BX97" i="6" s="1"/>
  <c r="BY83" i="6"/>
  <c r="BY97" i="6" s="1"/>
  <c r="BZ83" i="6"/>
  <c r="BZ97" i="6" s="1"/>
  <c r="CA83" i="6"/>
  <c r="CA97" i="6" s="1"/>
  <c r="CB83" i="6"/>
  <c r="CB97" i="6" s="1"/>
  <c r="CC83" i="6"/>
  <c r="CC97" i="6" s="1"/>
  <c r="BS84" i="6"/>
  <c r="BS98" i="6" s="1"/>
  <c r="BT84" i="6"/>
  <c r="BT98" i="6" s="1"/>
  <c r="BU84" i="6"/>
  <c r="BU98" i="6" s="1"/>
  <c r="BV84" i="6"/>
  <c r="BV98" i="6" s="1"/>
  <c r="BW84" i="6"/>
  <c r="BX84" i="6"/>
  <c r="BX98" i="6" s="1"/>
  <c r="BY84" i="6"/>
  <c r="BY98" i="6" s="1"/>
  <c r="BZ84" i="6"/>
  <c r="BZ98" i="6" s="1"/>
  <c r="CA84" i="6"/>
  <c r="CA98" i="6" s="1"/>
  <c r="CB84" i="6"/>
  <c r="CB98" i="6" s="1"/>
  <c r="CC84" i="6"/>
  <c r="CC98" i="6" s="1"/>
  <c r="BR81" i="6"/>
  <c r="BR95" i="6" s="1"/>
  <c r="BR82" i="6"/>
  <c r="BR96" i="6" s="1"/>
  <c r="BR83" i="6"/>
  <c r="BR97" i="6" s="1"/>
  <c r="BR84" i="6"/>
  <c r="BR98" i="6" s="1"/>
  <c r="BR80" i="6"/>
  <c r="BS73" i="6"/>
  <c r="BT73" i="6"/>
  <c r="BU73" i="6"/>
  <c r="BV73" i="6"/>
  <c r="BW73" i="6"/>
  <c r="BX73" i="6"/>
  <c r="BY73" i="6"/>
  <c r="BZ73" i="6"/>
  <c r="CA73" i="6"/>
  <c r="CB73" i="6"/>
  <c r="CC73" i="6"/>
  <c r="BS74" i="6"/>
  <c r="BT74" i="6"/>
  <c r="BU74" i="6"/>
  <c r="BV74" i="6"/>
  <c r="BW74" i="6"/>
  <c r="BX74" i="6"/>
  <c r="BY74" i="6"/>
  <c r="BZ74" i="6"/>
  <c r="CA74" i="6"/>
  <c r="CB74" i="6"/>
  <c r="CC74" i="6"/>
  <c r="BS75" i="6"/>
  <c r="BT75" i="6"/>
  <c r="BU75" i="6"/>
  <c r="BV75" i="6"/>
  <c r="BW75" i="6"/>
  <c r="BX75" i="6"/>
  <c r="BY75" i="6"/>
  <c r="BZ75" i="6"/>
  <c r="CA75" i="6"/>
  <c r="CB75" i="6"/>
  <c r="CC75" i="6"/>
  <c r="BS76" i="6"/>
  <c r="BT76" i="6"/>
  <c r="BU76" i="6"/>
  <c r="BV76" i="6"/>
  <c r="BW76" i="6"/>
  <c r="BX76" i="6"/>
  <c r="BY76" i="6"/>
  <c r="BZ76" i="6"/>
  <c r="CA76" i="6"/>
  <c r="CB76" i="6"/>
  <c r="CC76" i="6"/>
  <c r="BS77" i="6"/>
  <c r="BT77" i="6"/>
  <c r="BU77" i="6"/>
  <c r="BV77" i="6"/>
  <c r="BW77" i="6"/>
  <c r="BX77" i="6"/>
  <c r="BY77" i="6"/>
  <c r="BZ77" i="6"/>
  <c r="CA77" i="6"/>
  <c r="CB77" i="6"/>
  <c r="CC77" i="6"/>
  <c r="BR74" i="6"/>
  <c r="BR75" i="6"/>
  <c r="BR76" i="6"/>
  <c r="BR77" i="6"/>
  <c r="BR73" i="6"/>
  <c r="BV66" i="6"/>
  <c r="BX66" i="6"/>
  <c r="BY66" i="6"/>
  <c r="BZ66" i="6"/>
  <c r="CA66" i="6"/>
  <c r="CB66" i="6"/>
  <c r="CC66" i="6"/>
  <c r="BV67" i="6"/>
  <c r="BX67" i="6"/>
  <c r="BY67" i="6"/>
  <c r="BZ67" i="6"/>
  <c r="CA67" i="6"/>
  <c r="CB67" i="6"/>
  <c r="CC67" i="6"/>
  <c r="BV68" i="6"/>
  <c r="BX68" i="6"/>
  <c r="BY68" i="6"/>
  <c r="BZ68" i="6"/>
  <c r="CA68" i="6"/>
  <c r="CB68" i="6"/>
  <c r="CC68" i="6"/>
  <c r="BS69" i="6"/>
  <c r="BT69" i="6"/>
  <c r="BU69" i="6"/>
  <c r="BV69" i="6"/>
  <c r="BW69" i="6"/>
  <c r="BX69" i="6"/>
  <c r="BY69" i="6"/>
  <c r="BZ69" i="6"/>
  <c r="CA69" i="6"/>
  <c r="CB69" i="6"/>
  <c r="CC69" i="6"/>
  <c r="BS70" i="6"/>
  <c r="BT70" i="6"/>
  <c r="BU70" i="6"/>
  <c r="BV70" i="6"/>
  <c r="BW70" i="6"/>
  <c r="BX70" i="6"/>
  <c r="BY70" i="6"/>
  <c r="BZ70" i="6"/>
  <c r="CA70" i="6"/>
  <c r="CB70" i="6"/>
  <c r="CC70" i="6"/>
  <c r="BR69" i="6"/>
  <c r="BR70" i="6"/>
  <c r="BS59" i="6"/>
  <c r="BT59" i="6"/>
  <c r="BU59" i="6"/>
  <c r="BV59" i="6"/>
  <c r="BW59" i="6"/>
  <c r="BX59" i="6"/>
  <c r="BY59" i="6"/>
  <c r="BZ59" i="6"/>
  <c r="CA59" i="6"/>
  <c r="CB59" i="6"/>
  <c r="CC59" i="6"/>
  <c r="BS60" i="6"/>
  <c r="BT60" i="6"/>
  <c r="BU60" i="6"/>
  <c r="BV60" i="6"/>
  <c r="BW60" i="6"/>
  <c r="BX60" i="6"/>
  <c r="BY60" i="6"/>
  <c r="BZ60" i="6"/>
  <c r="CA60" i="6"/>
  <c r="CB60" i="6"/>
  <c r="CC60" i="6"/>
  <c r="BS61" i="6"/>
  <c r="BT61" i="6"/>
  <c r="BU61" i="6"/>
  <c r="BV61" i="6"/>
  <c r="BW61" i="6"/>
  <c r="BX61" i="6"/>
  <c r="BY61" i="6"/>
  <c r="BZ61" i="6"/>
  <c r="CA61" i="6"/>
  <c r="CB61" i="6"/>
  <c r="CC61" i="6"/>
  <c r="BS62" i="6"/>
  <c r="BT62" i="6"/>
  <c r="BU62" i="6"/>
  <c r="BV62" i="6"/>
  <c r="BW62" i="6"/>
  <c r="BX62" i="6"/>
  <c r="BY62" i="6"/>
  <c r="BZ62" i="6"/>
  <c r="CA62" i="6"/>
  <c r="CB62" i="6"/>
  <c r="CC62" i="6"/>
  <c r="BS63" i="6"/>
  <c r="BT63" i="6"/>
  <c r="BU63" i="6"/>
  <c r="BV63" i="6"/>
  <c r="BW63" i="6"/>
  <c r="BX63" i="6"/>
  <c r="BY63" i="6"/>
  <c r="BZ63" i="6"/>
  <c r="CA63" i="6"/>
  <c r="CB63" i="6"/>
  <c r="CC63" i="6"/>
  <c r="BR60" i="6"/>
  <c r="BR61" i="6"/>
  <c r="BR62" i="6"/>
  <c r="BR63" i="6"/>
  <c r="BR59" i="6"/>
  <c r="BS52" i="6"/>
  <c r="BT52" i="6"/>
  <c r="BU52" i="6"/>
  <c r="BV52" i="6"/>
  <c r="BW52" i="6"/>
  <c r="BX52" i="6"/>
  <c r="BY52" i="6"/>
  <c r="BZ52" i="6"/>
  <c r="CA52" i="6"/>
  <c r="CB52" i="6"/>
  <c r="CC52" i="6"/>
  <c r="BS53" i="6"/>
  <c r="BT53" i="6"/>
  <c r="BU53" i="6"/>
  <c r="BV53" i="6"/>
  <c r="BW53" i="6"/>
  <c r="BX53" i="6"/>
  <c r="BY53" i="6"/>
  <c r="BZ53" i="6"/>
  <c r="CA53" i="6"/>
  <c r="CB53" i="6"/>
  <c r="CC53" i="6"/>
  <c r="BS54" i="6"/>
  <c r="BT54" i="6"/>
  <c r="BU54" i="6"/>
  <c r="BV54" i="6"/>
  <c r="BW54" i="6"/>
  <c r="BX54" i="6"/>
  <c r="BY54" i="6"/>
  <c r="BZ54" i="6"/>
  <c r="CA54" i="6"/>
  <c r="CB54" i="6"/>
  <c r="CC54" i="6"/>
  <c r="BS55" i="6"/>
  <c r="BT55" i="6"/>
  <c r="BU55" i="6"/>
  <c r="BV55" i="6"/>
  <c r="BW55" i="6"/>
  <c r="BX55" i="6"/>
  <c r="BY55" i="6"/>
  <c r="BZ55" i="6"/>
  <c r="CA55" i="6"/>
  <c r="CB55" i="6"/>
  <c r="CC55" i="6"/>
  <c r="BS56" i="6"/>
  <c r="BT56" i="6"/>
  <c r="BU56" i="6"/>
  <c r="BV56" i="6"/>
  <c r="BW56" i="6"/>
  <c r="BX56" i="6"/>
  <c r="BY56" i="6"/>
  <c r="BZ56" i="6"/>
  <c r="CA56" i="6"/>
  <c r="CB56" i="6"/>
  <c r="CC56" i="6"/>
  <c r="BR53" i="6"/>
  <c r="BR54" i="6"/>
  <c r="BR55" i="6"/>
  <c r="BR56" i="6"/>
  <c r="BR52" i="6"/>
  <c r="BS45" i="6"/>
  <c r="BT45" i="6"/>
  <c r="BU45" i="6"/>
  <c r="BV45" i="6"/>
  <c r="BW45" i="6"/>
  <c r="BX45" i="6"/>
  <c r="BY45" i="6"/>
  <c r="BZ45" i="6"/>
  <c r="CA45" i="6"/>
  <c r="CB45" i="6"/>
  <c r="CC45" i="6"/>
  <c r="BS46" i="6"/>
  <c r="BT46" i="6"/>
  <c r="BU46" i="6"/>
  <c r="BV46" i="6"/>
  <c r="BW46" i="6"/>
  <c r="BX46" i="6"/>
  <c r="BY46" i="6"/>
  <c r="BZ46" i="6"/>
  <c r="CA46" i="6"/>
  <c r="CB46" i="6"/>
  <c r="CC46" i="6"/>
  <c r="BS47" i="6"/>
  <c r="BT47" i="6"/>
  <c r="BU47" i="6"/>
  <c r="BV47" i="6"/>
  <c r="BW47" i="6"/>
  <c r="BX47" i="6"/>
  <c r="BY47" i="6"/>
  <c r="BZ47" i="6"/>
  <c r="CA47" i="6"/>
  <c r="CB47" i="6"/>
  <c r="CC47" i="6"/>
  <c r="BS48" i="6"/>
  <c r="BT48" i="6"/>
  <c r="BU48" i="6"/>
  <c r="BV48" i="6"/>
  <c r="BW48" i="6"/>
  <c r="BX48" i="6"/>
  <c r="BY48" i="6"/>
  <c r="BZ48" i="6"/>
  <c r="CA48" i="6"/>
  <c r="CB48" i="6"/>
  <c r="CC48" i="6"/>
  <c r="BS49" i="6"/>
  <c r="BT49" i="6"/>
  <c r="BU49" i="6"/>
  <c r="BV49" i="6"/>
  <c r="BW49" i="6"/>
  <c r="BX49" i="6"/>
  <c r="BY49" i="6"/>
  <c r="BZ49" i="6"/>
  <c r="CA49" i="6"/>
  <c r="CB49" i="6"/>
  <c r="CC49" i="6"/>
  <c r="BR46" i="6"/>
  <c r="BR47" i="6"/>
  <c r="BR48" i="6"/>
  <c r="BR49" i="6"/>
  <c r="BR45" i="6"/>
  <c r="BS38" i="6"/>
  <c r="BT38" i="6"/>
  <c r="BU38" i="6"/>
  <c r="BV38" i="6"/>
  <c r="BW38" i="6"/>
  <c r="BX38" i="6"/>
  <c r="BY38" i="6"/>
  <c r="BZ38" i="6"/>
  <c r="CA38" i="6"/>
  <c r="CB38" i="6"/>
  <c r="CC38" i="6"/>
  <c r="BS39" i="6"/>
  <c r="BT39" i="6"/>
  <c r="BU39" i="6"/>
  <c r="BV39" i="6"/>
  <c r="BW39" i="6"/>
  <c r="BX39" i="6"/>
  <c r="BY39" i="6"/>
  <c r="BZ39" i="6"/>
  <c r="CA39" i="6"/>
  <c r="CB39" i="6"/>
  <c r="CC39" i="6"/>
  <c r="BS40" i="6"/>
  <c r="BT40" i="6"/>
  <c r="BU40" i="6"/>
  <c r="BV40" i="6"/>
  <c r="BW40" i="6"/>
  <c r="BX40" i="6"/>
  <c r="BY40" i="6"/>
  <c r="BZ40" i="6"/>
  <c r="CA40" i="6"/>
  <c r="CB40" i="6"/>
  <c r="CC40" i="6"/>
  <c r="BS41" i="6"/>
  <c r="BT41" i="6"/>
  <c r="BU41" i="6"/>
  <c r="BV41" i="6"/>
  <c r="BW41" i="6"/>
  <c r="BX41" i="6"/>
  <c r="BY41" i="6"/>
  <c r="BZ41" i="6"/>
  <c r="CA41" i="6"/>
  <c r="CB41" i="6"/>
  <c r="CC41" i="6"/>
  <c r="BS42" i="6"/>
  <c r="BT42" i="6"/>
  <c r="BU42" i="6"/>
  <c r="BV42" i="6"/>
  <c r="BW42" i="6"/>
  <c r="BX42" i="6"/>
  <c r="BY42" i="6"/>
  <c r="BZ42" i="6"/>
  <c r="CA42" i="6"/>
  <c r="CB42" i="6"/>
  <c r="CC42" i="6"/>
  <c r="BR39" i="6"/>
  <c r="BR40" i="6"/>
  <c r="BR41" i="6"/>
  <c r="BR42" i="6"/>
  <c r="BR38" i="6"/>
  <c r="BS31" i="6"/>
  <c r="BT31" i="6"/>
  <c r="BU31" i="6"/>
  <c r="BV31" i="6"/>
  <c r="BW31" i="6"/>
  <c r="BX31" i="6"/>
  <c r="BY31" i="6"/>
  <c r="BZ31" i="6"/>
  <c r="CA31" i="6"/>
  <c r="CB31" i="6"/>
  <c r="CC31" i="6"/>
  <c r="BS32" i="6"/>
  <c r="BT32" i="6"/>
  <c r="BU32" i="6"/>
  <c r="BV32" i="6"/>
  <c r="BW32" i="6"/>
  <c r="BX32" i="6"/>
  <c r="BY32" i="6"/>
  <c r="BZ32" i="6"/>
  <c r="CA32" i="6"/>
  <c r="CB32" i="6"/>
  <c r="CC32" i="6"/>
  <c r="BS33" i="6"/>
  <c r="BT33" i="6"/>
  <c r="BU33" i="6"/>
  <c r="BV33" i="6"/>
  <c r="BW33" i="6"/>
  <c r="BX33" i="6"/>
  <c r="BY33" i="6"/>
  <c r="BZ33" i="6"/>
  <c r="CA33" i="6"/>
  <c r="CB33" i="6"/>
  <c r="CC33" i="6"/>
  <c r="BS34" i="6"/>
  <c r="BT34" i="6"/>
  <c r="BU34" i="6"/>
  <c r="BV34" i="6"/>
  <c r="BW34" i="6"/>
  <c r="BX34" i="6"/>
  <c r="BY34" i="6"/>
  <c r="BZ34" i="6"/>
  <c r="CA34" i="6"/>
  <c r="CB34" i="6"/>
  <c r="CC34" i="6"/>
  <c r="BS35" i="6"/>
  <c r="BT35" i="6"/>
  <c r="BU35" i="6"/>
  <c r="BV35" i="6"/>
  <c r="BW35" i="6"/>
  <c r="BX35" i="6"/>
  <c r="BY35" i="6"/>
  <c r="BZ35" i="6"/>
  <c r="CA35" i="6"/>
  <c r="CB35" i="6"/>
  <c r="CC35" i="6"/>
  <c r="BR32" i="6"/>
  <c r="BR33" i="6"/>
  <c r="BR34" i="6"/>
  <c r="BR35" i="6"/>
  <c r="BR31" i="6"/>
  <c r="BS24" i="6"/>
  <c r="BT24" i="6"/>
  <c r="BU24" i="6"/>
  <c r="BV24" i="6"/>
  <c r="BW24" i="6"/>
  <c r="BX24" i="6"/>
  <c r="BY24" i="6"/>
  <c r="BZ24" i="6"/>
  <c r="CA24" i="6"/>
  <c r="CB24" i="6"/>
  <c r="CC24" i="6"/>
  <c r="BS25" i="6"/>
  <c r="BT25" i="6"/>
  <c r="BU25" i="6"/>
  <c r="BV25" i="6"/>
  <c r="BW25" i="6"/>
  <c r="BX25" i="6"/>
  <c r="BY25" i="6"/>
  <c r="BZ25" i="6"/>
  <c r="CA25" i="6"/>
  <c r="CB25" i="6"/>
  <c r="CC25" i="6"/>
  <c r="BS26" i="6"/>
  <c r="BT26" i="6"/>
  <c r="BU26" i="6"/>
  <c r="BV26" i="6"/>
  <c r="BW26" i="6"/>
  <c r="BX26" i="6"/>
  <c r="BY26" i="6"/>
  <c r="BZ26" i="6"/>
  <c r="CA26" i="6"/>
  <c r="CB26" i="6"/>
  <c r="CC26" i="6"/>
  <c r="BS27" i="6"/>
  <c r="BT27" i="6"/>
  <c r="BU27" i="6"/>
  <c r="BV27" i="6"/>
  <c r="BW27" i="6"/>
  <c r="BX27" i="6"/>
  <c r="BY27" i="6"/>
  <c r="BZ27" i="6"/>
  <c r="CA27" i="6"/>
  <c r="CB27" i="6"/>
  <c r="CC27" i="6"/>
  <c r="BS28" i="6"/>
  <c r="BT28" i="6"/>
  <c r="BU28" i="6"/>
  <c r="BV28" i="6"/>
  <c r="BW28" i="6"/>
  <c r="BX28" i="6"/>
  <c r="BY28" i="6"/>
  <c r="BZ28" i="6"/>
  <c r="CA28" i="6"/>
  <c r="CB28" i="6"/>
  <c r="CC28" i="6"/>
  <c r="BR28" i="6"/>
  <c r="BR27" i="6"/>
  <c r="BR26" i="6"/>
  <c r="BR25" i="6"/>
  <c r="BR24" i="6"/>
  <c r="BS17" i="6"/>
  <c r="BT17" i="6"/>
  <c r="BU17" i="6"/>
  <c r="BV17" i="6"/>
  <c r="BW17" i="6"/>
  <c r="BX17" i="6"/>
  <c r="BY17" i="6"/>
  <c r="BZ17" i="6"/>
  <c r="CA17" i="6"/>
  <c r="CB17" i="6"/>
  <c r="CC17" i="6"/>
  <c r="BS18" i="6"/>
  <c r="BT18" i="6"/>
  <c r="BU18" i="6"/>
  <c r="BV18" i="6"/>
  <c r="BW18" i="6"/>
  <c r="BX18" i="6"/>
  <c r="BY18" i="6"/>
  <c r="BZ18" i="6"/>
  <c r="CA18" i="6"/>
  <c r="CB18" i="6"/>
  <c r="CC18" i="6"/>
  <c r="BS19" i="6"/>
  <c r="BT19" i="6"/>
  <c r="BU19" i="6"/>
  <c r="BV19" i="6"/>
  <c r="BW19" i="6"/>
  <c r="BX19" i="6"/>
  <c r="BY19" i="6"/>
  <c r="BZ19" i="6"/>
  <c r="CA19" i="6"/>
  <c r="CB19" i="6"/>
  <c r="CC19" i="6"/>
  <c r="BS20" i="6"/>
  <c r="BT20" i="6"/>
  <c r="BU20" i="6"/>
  <c r="BV20" i="6"/>
  <c r="BW20" i="6"/>
  <c r="BX20" i="6"/>
  <c r="BY20" i="6"/>
  <c r="BZ20" i="6"/>
  <c r="CA20" i="6"/>
  <c r="CB20" i="6"/>
  <c r="CC20" i="6"/>
  <c r="BS21" i="6"/>
  <c r="BT21" i="6"/>
  <c r="BU21" i="6"/>
  <c r="BV21" i="6"/>
  <c r="BW21" i="6"/>
  <c r="BX21" i="6"/>
  <c r="BY21" i="6"/>
  <c r="BZ21" i="6"/>
  <c r="CA21" i="6"/>
  <c r="CB21" i="6"/>
  <c r="CC21" i="6"/>
  <c r="BR21" i="6"/>
  <c r="BR20" i="6"/>
  <c r="BR19" i="6"/>
  <c r="BR18" i="6"/>
  <c r="BR17" i="6"/>
  <c r="DQ94" i="6"/>
  <c r="DR94" i="6"/>
  <c r="DS94" i="6"/>
  <c r="DT94" i="6"/>
  <c r="DU94" i="6"/>
  <c r="DV94" i="6"/>
  <c r="DR95" i="6"/>
  <c r="DS95" i="6"/>
  <c r="DT95" i="6"/>
  <c r="DU95" i="6"/>
  <c r="DV95" i="6"/>
  <c r="DY95" i="6"/>
  <c r="DQ96" i="6"/>
  <c r="DR96" i="6"/>
  <c r="DS96" i="6"/>
  <c r="DT96" i="6"/>
  <c r="DU96" i="6"/>
  <c r="DV96" i="6"/>
  <c r="DY96" i="6"/>
  <c r="DS97" i="6"/>
  <c r="DT97" i="6"/>
  <c r="DU97" i="6"/>
  <c r="DY97" i="6"/>
  <c r="DQ98" i="6"/>
  <c r="DR98" i="6"/>
  <c r="DS98" i="6"/>
  <c r="DT98" i="6"/>
  <c r="DU98" i="6"/>
  <c r="DV98" i="6"/>
  <c r="DW98" i="6"/>
  <c r="DX98" i="6"/>
  <c r="DY98" i="6"/>
  <c r="BS10" i="6"/>
  <c r="BT10" i="6"/>
  <c r="BU10" i="6"/>
  <c r="BV10" i="6"/>
  <c r="BW10" i="6"/>
  <c r="BX10" i="6"/>
  <c r="BY10" i="6"/>
  <c r="BZ10" i="6"/>
  <c r="CA10" i="6"/>
  <c r="CB10" i="6"/>
  <c r="CC10" i="6"/>
  <c r="BS11" i="6"/>
  <c r="BT11" i="6"/>
  <c r="BU11" i="6"/>
  <c r="BV11" i="6"/>
  <c r="BW11" i="6"/>
  <c r="BX11" i="6"/>
  <c r="BY11" i="6"/>
  <c r="BZ11" i="6"/>
  <c r="CA11" i="6"/>
  <c r="CB11" i="6"/>
  <c r="CC11" i="6"/>
  <c r="BS12" i="6"/>
  <c r="BT12" i="6"/>
  <c r="BU12" i="6"/>
  <c r="BV12" i="6"/>
  <c r="BW12" i="6"/>
  <c r="BX12" i="6"/>
  <c r="BY12" i="6"/>
  <c r="BZ12" i="6"/>
  <c r="CA12" i="6"/>
  <c r="CB12" i="6"/>
  <c r="CC12" i="6"/>
  <c r="BS13" i="6"/>
  <c r="BT13" i="6"/>
  <c r="BU13" i="6"/>
  <c r="BV13" i="6"/>
  <c r="BW13" i="6"/>
  <c r="BX13" i="6"/>
  <c r="BY13" i="6"/>
  <c r="BZ13" i="6"/>
  <c r="CA13" i="6"/>
  <c r="CB13" i="6"/>
  <c r="CC13" i="6"/>
  <c r="BS14" i="6"/>
  <c r="BT14" i="6"/>
  <c r="BU14" i="6"/>
  <c r="BV14" i="6"/>
  <c r="BW14" i="6"/>
  <c r="BX14" i="6"/>
  <c r="BY14" i="6"/>
  <c r="BZ14" i="6"/>
  <c r="CA14" i="6"/>
  <c r="CB14" i="6"/>
  <c r="CC14" i="6"/>
  <c r="BR11" i="6"/>
  <c r="BR12" i="6"/>
  <c r="BR13" i="6"/>
  <c r="BR14" i="6"/>
  <c r="CB15" i="6"/>
  <c r="CC15" i="6"/>
  <c r="CA99" i="2" l="1"/>
  <c r="CM94" i="2"/>
  <c r="CL71" i="2"/>
  <c r="CD120" i="2"/>
  <c r="CP120" i="2" s="1"/>
  <c r="CP99" i="2"/>
  <c r="CC120" i="2"/>
  <c r="CO120" i="2" s="1"/>
  <c r="CO99" i="2"/>
  <c r="CM99" i="2"/>
  <c r="CA120" i="2"/>
  <c r="CM120" i="2" s="1"/>
  <c r="CL120" i="2"/>
  <c r="CL99" i="2"/>
  <c r="CK71" i="2"/>
  <c r="BY120" i="2"/>
  <c r="CK120" i="2" s="1"/>
  <c r="CK99" i="2"/>
  <c r="BX120" i="2"/>
  <c r="CJ120" i="2" s="1"/>
  <c r="CJ99" i="2"/>
  <c r="CJ71" i="2"/>
  <c r="CI71" i="2"/>
  <c r="BW120" i="2"/>
  <c r="CI120" i="2" s="1"/>
  <c r="CI99" i="2"/>
  <c r="BV99" i="2"/>
  <c r="BV120" i="2" s="1"/>
  <c r="CH120" i="2" s="1"/>
  <c r="CH71" i="2"/>
  <c r="BY71" i="2"/>
  <c r="CB99" i="2"/>
  <c r="DV57" i="6"/>
  <c r="BU29" i="6"/>
  <c r="BX29" i="6"/>
  <c r="DR22" i="6"/>
  <c r="DU22" i="6"/>
  <c r="DV22" i="6"/>
  <c r="DN36" i="6"/>
  <c r="DR36" i="6"/>
  <c r="DU36" i="6"/>
  <c r="DV36" i="6"/>
  <c r="DY113" i="6"/>
  <c r="DR15" i="6"/>
  <c r="DN106" i="6"/>
  <c r="DY106" i="6"/>
  <c r="DY50" i="6"/>
  <c r="DQ50" i="6"/>
  <c r="DT50" i="6"/>
  <c r="DW50" i="6"/>
  <c r="DO50" i="6"/>
  <c r="DY15" i="6"/>
  <c r="DY29" i="6"/>
  <c r="DY43" i="6"/>
  <c r="DT106" i="6"/>
  <c r="DY57" i="6"/>
  <c r="DQ57" i="6"/>
  <c r="DT57" i="6"/>
  <c r="DP15" i="6"/>
  <c r="DX43" i="6"/>
  <c r="DV106" i="6"/>
  <c r="DS64" i="6"/>
  <c r="DV15" i="6"/>
  <c r="DO15" i="6"/>
  <c r="DY85" i="6"/>
  <c r="DO85" i="6"/>
  <c r="DY22" i="6"/>
  <c r="DY36" i="6"/>
  <c r="DS106" i="6"/>
  <c r="DW71" i="6"/>
  <c r="DU64" i="6"/>
  <c r="DU57" i="6"/>
  <c r="DX36" i="6"/>
  <c r="DY71" i="6"/>
  <c r="DU43" i="6"/>
  <c r="DW22" i="6"/>
  <c r="DO22" i="6"/>
  <c r="DS29" i="6"/>
  <c r="DW36" i="6"/>
  <c r="DO36" i="6"/>
  <c r="DS43" i="6"/>
  <c r="DQ29" i="6"/>
  <c r="DQ43" i="6"/>
  <c r="DT22" i="6"/>
  <c r="DP29" i="6"/>
  <c r="DT36" i="6"/>
  <c r="DP43" i="6"/>
  <c r="DS22" i="6"/>
  <c r="DW29" i="6"/>
  <c r="DO29" i="6"/>
  <c r="DS36" i="6"/>
  <c r="DW43" i="6"/>
  <c r="DO43" i="6"/>
  <c r="DR29" i="6"/>
  <c r="DU29" i="6"/>
  <c r="DV29" i="6"/>
  <c r="DR43" i="6"/>
  <c r="DV43" i="6"/>
  <c r="DQ22" i="6"/>
  <c r="DQ36" i="6"/>
  <c r="DP22" i="6"/>
  <c r="DT29" i="6"/>
  <c r="DP36" i="6"/>
  <c r="DT43" i="6"/>
  <c r="DN43" i="6"/>
  <c r="DN29" i="6"/>
  <c r="DN22" i="6"/>
  <c r="DS50" i="6"/>
  <c r="DU15" i="6"/>
  <c r="DN64" i="6"/>
  <c r="DR85" i="6"/>
  <c r="DU85" i="6"/>
  <c r="DR106" i="6"/>
  <c r="DW57" i="6"/>
  <c r="DO57" i="6"/>
  <c r="DR57" i="6"/>
  <c r="DX57" i="6"/>
  <c r="DU113" i="6"/>
  <c r="DS113" i="6"/>
  <c r="DY94" i="6"/>
  <c r="DY99" i="6" s="1"/>
  <c r="DQ15" i="6"/>
  <c r="DT15" i="6"/>
  <c r="DQ106" i="6"/>
  <c r="DV64" i="6"/>
  <c r="DY64" i="6"/>
  <c r="DQ64" i="6"/>
  <c r="DW64" i="6"/>
  <c r="DV113" i="6"/>
  <c r="DR97" i="6"/>
  <c r="DR99" i="6" s="1"/>
  <c r="DS15" i="6"/>
  <c r="DX106" i="6"/>
  <c r="DP106" i="6"/>
  <c r="DX64" i="6"/>
  <c r="DP64" i="6"/>
  <c r="DV85" i="6"/>
  <c r="DO106" i="6"/>
  <c r="DN50" i="6"/>
  <c r="DU106" i="6"/>
  <c r="DT113" i="6"/>
  <c r="DR113" i="6"/>
  <c r="DQ113" i="6"/>
  <c r="DP113" i="6"/>
  <c r="DO113" i="6"/>
  <c r="DN113" i="6"/>
  <c r="DX113" i="6"/>
  <c r="DW113" i="6"/>
  <c r="DW106" i="6"/>
  <c r="DS99" i="6"/>
  <c r="DT85" i="6"/>
  <c r="DQ97" i="6"/>
  <c r="DS85" i="6"/>
  <c r="DO99" i="6"/>
  <c r="DO120" i="6" s="1"/>
  <c r="DV97" i="6"/>
  <c r="DV99" i="6" s="1"/>
  <c r="DU99" i="6"/>
  <c r="DT99" i="6"/>
  <c r="DN99" i="6"/>
  <c r="DN120" i="6" s="1"/>
  <c r="DN85" i="6"/>
  <c r="DT64" i="6"/>
  <c r="DO64" i="6"/>
  <c r="DR64" i="6"/>
  <c r="DS57" i="6"/>
  <c r="DP57" i="6"/>
  <c r="DN57" i="6"/>
  <c r="DP50" i="6"/>
  <c r="DV50" i="6"/>
  <c r="DR50" i="6"/>
  <c r="DU50" i="6"/>
  <c r="DN15" i="6"/>
  <c r="BJ120" i="6"/>
  <c r="BM120" i="6"/>
  <c r="BQ120" i="6"/>
  <c r="BF120" i="6"/>
  <c r="BW85" i="6"/>
  <c r="BZ43" i="6"/>
  <c r="BR141" i="6"/>
  <c r="BR29" i="6"/>
  <c r="BU64" i="6"/>
  <c r="BY115" i="6"/>
  <c r="BY120" i="6" s="1"/>
  <c r="CC99" i="6"/>
  <c r="BX85" i="6"/>
  <c r="BX94" i="6"/>
  <c r="BX99" i="6" s="1"/>
  <c r="BG120" i="6"/>
  <c r="BO120" i="6"/>
  <c r="BL120" i="6"/>
  <c r="BH120" i="6"/>
  <c r="BP120" i="6"/>
  <c r="BR85" i="6"/>
  <c r="BV85" i="6"/>
  <c r="BR120" i="6"/>
  <c r="BI120" i="6"/>
  <c r="CC78" i="6"/>
  <c r="BU78" i="6"/>
  <c r="BR94" i="6"/>
  <c r="BR99" i="6" s="1"/>
  <c r="BU116" i="6"/>
  <c r="BU120" i="6" s="1"/>
  <c r="BN120" i="6"/>
  <c r="BV127" i="6"/>
  <c r="BV141" i="6"/>
  <c r="BW127" i="6"/>
  <c r="CA134" i="6"/>
  <c r="CC134" i="6"/>
  <c r="BU134" i="6"/>
  <c r="BY134" i="6"/>
  <c r="CC141" i="6"/>
  <c r="CB134" i="6"/>
  <c r="BT134" i="6"/>
  <c r="BZ134" i="6"/>
  <c r="BX134" i="6"/>
  <c r="CA127" i="6"/>
  <c r="BS127" i="6"/>
  <c r="BV134" i="6"/>
  <c r="BZ141" i="6"/>
  <c r="CC127" i="6"/>
  <c r="BU127" i="6"/>
  <c r="BY127" i="6"/>
  <c r="CA141" i="6"/>
  <c r="BS141" i="6"/>
  <c r="BY141" i="6"/>
  <c r="CB127" i="6"/>
  <c r="BT127" i="6"/>
  <c r="BZ127" i="6"/>
  <c r="BX127" i="6"/>
  <c r="CB141" i="6"/>
  <c r="BT141" i="6"/>
  <c r="BU141" i="6"/>
  <c r="BX141" i="6"/>
  <c r="BW134" i="6"/>
  <c r="BS134" i="6"/>
  <c r="BW141" i="6"/>
  <c r="BR134" i="6"/>
  <c r="BR127" i="6"/>
  <c r="CA113" i="6"/>
  <c r="BS113" i="6"/>
  <c r="BW113" i="6"/>
  <c r="CC113" i="6"/>
  <c r="BU113" i="6"/>
  <c r="BX113" i="6"/>
  <c r="BZ113" i="6"/>
  <c r="BV113" i="6"/>
  <c r="CB113" i="6"/>
  <c r="BT113" i="6"/>
  <c r="BY113" i="6"/>
  <c r="BR113" i="6"/>
  <c r="BW78" i="6"/>
  <c r="BY78" i="6"/>
  <c r="BX78" i="6"/>
  <c r="BV78" i="6"/>
  <c r="BT78" i="6"/>
  <c r="CA78" i="6"/>
  <c r="BS78" i="6"/>
  <c r="BZ78" i="6"/>
  <c r="BR78" i="6"/>
  <c r="CB78" i="6"/>
  <c r="CC71" i="6"/>
  <c r="CB71" i="6"/>
  <c r="BZ71" i="6"/>
  <c r="BW64" i="6"/>
  <c r="BT57" i="6"/>
  <c r="BX50" i="6"/>
  <c r="CB50" i="6"/>
  <c r="BW50" i="6"/>
  <c r="CA50" i="6"/>
  <c r="BR50" i="6"/>
  <c r="BW29" i="6"/>
  <c r="BW43" i="6"/>
  <c r="CC36" i="6"/>
  <c r="BX36" i="6"/>
  <c r="BW22" i="6"/>
  <c r="BT43" i="6"/>
  <c r="BW36" i="6"/>
  <c r="BZ22" i="6"/>
  <c r="CC22" i="6"/>
  <c r="CB29" i="6"/>
  <c r="BT29" i="6"/>
  <c r="BZ29" i="6"/>
  <c r="BR43" i="6"/>
  <c r="BR36" i="6"/>
  <c r="BR22" i="6"/>
  <c r="BV99" i="6"/>
  <c r="BZ99" i="6"/>
  <c r="BU99" i="6"/>
  <c r="CA99" i="6"/>
  <c r="BS99" i="6"/>
  <c r="BY99" i="6"/>
  <c r="CB99" i="6"/>
  <c r="BT99" i="6"/>
  <c r="CC50" i="6"/>
  <c r="BU50" i="6"/>
  <c r="BX64" i="6"/>
  <c r="CC85" i="6"/>
  <c r="CB22" i="6"/>
  <c r="BT22" i="6"/>
  <c r="CA29" i="6"/>
  <c r="BS29" i="6"/>
  <c r="BV29" i="6"/>
  <c r="BY29" i="6"/>
  <c r="CB57" i="6"/>
  <c r="BW57" i="6"/>
  <c r="BZ57" i="6"/>
  <c r="CB85" i="6"/>
  <c r="BT85" i="6"/>
  <c r="BZ106" i="6"/>
  <c r="BX120" i="6"/>
  <c r="BS22" i="6"/>
  <c r="CC29" i="6"/>
  <c r="BZ36" i="6"/>
  <c r="BU36" i="6"/>
  <c r="CB43" i="6"/>
  <c r="BU57" i="6"/>
  <c r="BX57" i="6"/>
  <c r="CA57" i="6"/>
  <c r="BS57" i="6"/>
  <c r="BV57" i="6"/>
  <c r="BY57" i="6"/>
  <c r="CC64" i="6"/>
  <c r="CA85" i="6"/>
  <c r="BS85" i="6"/>
  <c r="BX106" i="6"/>
  <c r="CA106" i="6"/>
  <c r="BS106" i="6"/>
  <c r="CB36" i="6"/>
  <c r="BT36" i="6"/>
  <c r="CC43" i="6"/>
  <c r="CA43" i="6"/>
  <c r="BS43" i="6"/>
  <c r="BV43" i="6"/>
  <c r="BY43" i="6"/>
  <c r="CC57" i="6"/>
  <c r="CA64" i="6"/>
  <c r="CB64" i="6"/>
  <c r="BT64" i="6"/>
  <c r="BZ85" i="6"/>
  <c r="BW98" i="6"/>
  <c r="BW99" i="6" s="1"/>
  <c r="BU106" i="6"/>
  <c r="BU22" i="6"/>
  <c r="CA22" i="6"/>
  <c r="BV22" i="6"/>
  <c r="BY22" i="6"/>
  <c r="BU43" i="6"/>
  <c r="BX43" i="6"/>
  <c r="BX71" i="6"/>
  <c r="CA71" i="6"/>
  <c r="BV71" i="6"/>
  <c r="BY71" i="6"/>
  <c r="BY85" i="6"/>
  <c r="CC120" i="6"/>
  <c r="BU85" i="6"/>
  <c r="BX22" i="6"/>
  <c r="BT50" i="6"/>
  <c r="BZ50" i="6"/>
  <c r="BV64" i="6"/>
  <c r="BY64" i="6"/>
  <c r="BZ64" i="6"/>
  <c r="BZ120" i="6"/>
  <c r="CA36" i="6"/>
  <c r="BS36" i="6"/>
  <c r="BV36" i="6"/>
  <c r="BY36" i="6"/>
  <c r="BS50" i="6"/>
  <c r="BV50" i="6"/>
  <c r="BY50" i="6"/>
  <c r="BS64" i="6"/>
  <c r="BW120" i="6"/>
  <c r="BV120" i="6"/>
  <c r="BK120" i="6"/>
  <c r="CB115" i="6"/>
  <c r="CB120" i="6" s="1"/>
  <c r="BT115" i="6"/>
  <c r="BT120" i="6" s="1"/>
  <c r="CA115" i="6"/>
  <c r="CA120" i="6" s="1"/>
  <c r="BS115" i="6"/>
  <c r="BS120" i="6" s="1"/>
  <c r="CB106" i="6"/>
  <c r="BT106" i="6"/>
  <c r="BW106" i="6"/>
  <c r="BV106" i="6"/>
  <c r="BY106" i="6"/>
  <c r="CN99" i="2" l="1"/>
  <c r="CB120" i="2"/>
  <c r="CN120" i="2" s="1"/>
  <c r="CH99" i="2"/>
  <c r="DP129" i="6"/>
  <c r="DQ129" i="6"/>
  <c r="DR129" i="6"/>
  <c r="DS129" i="6"/>
  <c r="DT129" i="6"/>
  <c r="DU129" i="6"/>
  <c r="DV129" i="6"/>
  <c r="DW129" i="6"/>
  <c r="DX129" i="6"/>
  <c r="DY129" i="6"/>
  <c r="DP130" i="6"/>
  <c r="DQ130" i="6"/>
  <c r="DR130" i="6"/>
  <c r="DS130" i="6"/>
  <c r="DT130" i="6"/>
  <c r="DU130" i="6"/>
  <c r="DV130" i="6"/>
  <c r="DW130" i="6"/>
  <c r="DX130" i="6"/>
  <c r="DY130" i="6"/>
  <c r="DY134" i="6" s="1"/>
  <c r="DP131" i="6"/>
  <c r="DQ131" i="6"/>
  <c r="DR131" i="6"/>
  <c r="DS131" i="6"/>
  <c r="DT131" i="6"/>
  <c r="DU131" i="6"/>
  <c r="DV131" i="6"/>
  <c r="DW131" i="6"/>
  <c r="DX131" i="6"/>
  <c r="DY131" i="6"/>
  <c r="DP132" i="6"/>
  <c r="DQ132" i="6"/>
  <c r="DR132" i="6"/>
  <c r="DS132" i="6"/>
  <c r="DT132" i="6"/>
  <c r="DU132" i="6"/>
  <c r="DV132" i="6"/>
  <c r="DW132" i="6"/>
  <c r="DX132" i="6"/>
  <c r="DY132" i="6"/>
  <c r="DP133" i="6"/>
  <c r="DQ133" i="6"/>
  <c r="DR133" i="6"/>
  <c r="DS133" i="6"/>
  <c r="DT133" i="6"/>
  <c r="DU133" i="6"/>
  <c r="DV133" i="6"/>
  <c r="DW133" i="6"/>
  <c r="DX133" i="6"/>
  <c r="DY133" i="6"/>
  <c r="DP136" i="6"/>
  <c r="DQ136" i="6"/>
  <c r="DR136" i="6"/>
  <c r="DS136" i="6"/>
  <c r="DT136" i="6"/>
  <c r="DU136" i="6"/>
  <c r="DV136" i="6"/>
  <c r="DW136" i="6"/>
  <c r="DX136" i="6"/>
  <c r="DY136" i="6"/>
  <c r="DP137" i="6"/>
  <c r="DQ137" i="6"/>
  <c r="DR137" i="6"/>
  <c r="DS137" i="6"/>
  <c r="DT137" i="6"/>
  <c r="DU137" i="6"/>
  <c r="DV137" i="6"/>
  <c r="DW137" i="6"/>
  <c r="DX137" i="6"/>
  <c r="DY137" i="6"/>
  <c r="DP138" i="6"/>
  <c r="DQ138" i="6"/>
  <c r="DR138" i="6"/>
  <c r="DS138" i="6"/>
  <c r="DT138" i="6"/>
  <c r="DU138" i="6"/>
  <c r="DV138" i="6"/>
  <c r="DW138" i="6"/>
  <c r="DX138" i="6"/>
  <c r="DY138" i="6"/>
  <c r="DP139" i="6"/>
  <c r="DQ139" i="6"/>
  <c r="DR139" i="6"/>
  <c r="DS139" i="6"/>
  <c r="DT139" i="6"/>
  <c r="DU139" i="6"/>
  <c r="DV139" i="6"/>
  <c r="DW139" i="6"/>
  <c r="DX139" i="6"/>
  <c r="DY139" i="6"/>
  <c r="DP140" i="6"/>
  <c r="DQ140" i="6"/>
  <c r="DR140" i="6"/>
  <c r="DS140" i="6"/>
  <c r="DT140" i="6"/>
  <c r="DU140" i="6"/>
  <c r="DV140" i="6"/>
  <c r="DW140" i="6"/>
  <c r="DX140" i="6"/>
  <c r="DY140" i="6"/>
  <c r="DO129" i="6"/>
  <c r="DO130" i="6"/>
  <c r="DO131" i="6"/>
  <c r="DO132" i="6"/>
  <c r="DO133" i="6"/>
  <c r="DO136" i="6"/>
  <c r="DO137" i="6"/>
  <c r="DO138" i="6"/>
  <c r="DO139" i="6"/>
  <c r="DO140" i="6"/>
  <c r="DN136" i="6"/>
  <c r="DN137" i="6"/>
  <c r="DN138" i="6"/>
  <c r="DN139" i="6"/>
  <c r="DN140" i="6"/>
  <c r="DN129" i="6"/>
  <c r="DN130" i="6"/>
  <c r="DN131" i="6"/>
  <c r="DN132" i="6"/>
  <c r="DN133" i="6"/>
  <c r="CP10" i="6"/>
  <c r="DD113" i="6"/>
  <c r="DE113" i="6"/>
  <c r="DF113" i="6"/>
  <c r="DH113" i="6"/>
  <c r="DI113" i="6"/>
  <c r="DJ113" i="6"/>
  <c r="DK113" i="6"/>
  <c r="DL113" i="6"/>
  <c r="DM113" i="6"/>
  <c r="DB97" i="6"/>
  <c r="DC97" i="6"/>
  <c r="DD97" i="6"/>
  <c r="DE97" i="6"/>
  <c r="DF97" i="6"/>
  <c r="DH97" i="6"/>
  <c r="DI97" i="6"/>
  <c r="DJ97" i="6"/>
  <c r="DB98" i="6"/>
  <c r="DC98" i="6"/>
  <c r="DD98" i="6"/>
  <c r="DE98" i="6"/>
  <c r="DF98" i="6"/>
  <c r="DH98" i="6"/>
  <c r="DI98" i="6"/>
  <c r="DJ98" i="6"/>
  <c r="DL95" i="6"/>
  <c r="DM95" i="6"/>
  <c r="DL96" i="6"/>
  <c r="DM96" i="6"/>
  <c r="DL97" i="6"/>
  <c r="DM97" i="6"/>
  <c r="DL94" i="6"/>
  <c r="DM94" i="6"/>
  <c r="DD43" i="6"/>
  <c r="DE43" i="6"/>
  <c r="DF43" i="6"/>
  <c r="DI43" i="6"/>
  <c r="DJ43" i="6"/>
  <c r="DK43" i="6"/>
  <c r="DL43" i="6"/>
  <c r="DM43" i="6"/>
  <c r="DC43" i="6"/>
  <c r="DD36" i="6"/>
  <c r="DE36" i="6"/>
  <c r="DF36" i="6"/>
  <c r="DH36" i="6"/>
  <c r="DI36" i="6"/>
  <c r="DJ36" i="6"/>
  <c r="DK36" i="6"/>
  <c r="DL36" i="6"/>
  <c r="DM36" i="6"/>
  <c r="DC36" i="6"/>
  <c r="DB36" i="6"/>
  <c r="DD29" i="6"/>
  <c r="DE29" i="6"/>
  <c r="DF29" i="6"/>
  <c r="DH29" i="6"/>
  <c r="DI29" i="6"/>
  <c r="DJ29" i="6"/>
  <c r="DK29" i="6"/>
  <c r="DL29" i="6"/>
  <c r="DM29" i="6"/>
  <c r="DC29" i="6"/>
  <c r="DB29" i="6"/>
  <c r="DD22" i="6"/>
  <c r="DE22" i="6"/>
  <c r="DF22" i="6"/>
  <c r="DH22" i="6"/>
  <c r="DI22" i="6"/>
  <c r="DJ22" i="6"/>
  <c r="DK22" i="6"/>
  <c r="DL22" i="6"/>
  <c r="DM22" i="6"/>
  <c r="DC22" i="6"/>
  <c r="DB22" i="6"/>
  <c r="DM106" i="6"/>
  <c r="DB141" i="6"/>
  <c r="DC141" i="6"/>
  <c r="DD141" i="6"/>
  <c r="DE141" i="6"/>
  <c r="DF141" i="6"/>
  <c r="DH141" i="6"/>
  <c r="DI141" i="6"/>
  <c r="DJ141" i="6"/>
  <c r="DD134" i="6"/>
  <c r="DE134" i="6"/>
  <c r="DF134" i="6"/>
  <c r="DI134" i="6"/>
  <c r="DJ134" i="6"/>
  <c r="DK134" i="6"/>
  <c r="DL134" i="6"/>
  <c r="DM134" i="6"/>
  <c r="DB127" i="6"/>
  <c r="DC127" i="6"/>
  <c r="DD127" i="6"/>
  <c r="DE127" i="6"/>
  <c r="DF127" i="6"/>
  <c r="DH127" i="6"/>
  <c r="DI127" i="6"/>
  <c r="DJ127" i="6"/>
  <c r="DB113" i="6"/>
  <c r="DC113" i="6"/>
  <c r="DH78" i="6"/>
  <c r="DI78" i="6"/>
  <c r="DJ78" i="6"/>
  <c r="DK78" i="6"/>
  <c r="DL78" i="6"/>
  <c r="DM78" i="6"/>
  <c r="DM57" i="6"/>
  <c r="DH57" i="6"/>
  <c r="DI57" i="6"/>
  <c r="DK57" i="6"/>
  <c r="DL57" i="6"/>
  <c r="DM64" i="6"/>
  <c r="DF64" i="6"/>
  <c r="DI64" i="6"/>
  <c r="DK64" i="6"/>
  <c r="DL64" i="6"/>
  <c r="DK71" i="6"/>
  <c r="DL71" i="6"/>
  <c r="DM71" i="6"/>
  <c r="DF50" i="6"/>
  <c r="DI50" i="6"/>
  <c r="DK50" i="6"/>
  <c r="DL50" i="6"/>
  <c r="DM50" i="6"/>
  <c r="DM141" i="6"/>
  <c r="DL141" i="6"/>
  <c r="DK141" i="6"/>
  <c r="DM127" i="6"/>
  <c r="DL127" i="6"/>
  <c r="DK127" i="6"/>
  <c r="DL106" i="6"/>
  <c r="DK106" i="6"/>
  <c r="DJ106" i="6"/>
  <c r="DI106" i="6"/>
  <c r="DH106" i="6"/>
  <c r="DF106" i="6"/>
  <c r="DE106" i="6"/>
  <c r="DD106" i="6"/>
  <c r="DC106" i="6"/>
  <c r="DB106" i="6"/>
  <c r="DK98" i="6"/>
  <c r="DJ96" i="6"/>
  <c r="DI96" i="6"/>
  <c r="DH96" i="6"/>
  <c r="DF96" i="6"/>
  <c r="DE96" i="6"/>
  <c r="DD96" i="6"/>
  <c r="DC96" i="6"/>
  <c r="DB96" i="6"/>
  <c r="DK95" i="6"/>
  <c r="DJ95" i="6"/>
  <c r="DI95" i="6"/>
  <c r="DH95" i="6"/>
  <c r="DF95" i="6"/>
  <c r="DC95" i="6"/>
  <c r="DB95" i="6"/>
  <c r="DJ94" i="6"/>
  <c r="DI94" i="6"/>
  <c r="DH94" i="6"/>
  <c r="DF94" i="6"/>
  <c r="DE94" i="6"/>
  <c r="DD94" i="6"/>
  <c r="DC94" i="6"/>
  <c r="DB94" i="6"/>
  <c r="DM85" i="6"/>
  <c r="DK85" i="6"/>
  <c r="DF85" i="6"/>
  <c r="DC85" i="6"/>
  <c r="DK97" i="6"/>
  <c r="DK96" i="6"/>
  <c r="DE85" i="6"/>
  <c r="DL85" i="6"/>
  <c r="DK94" i="6"/>
  <c r="DF78" i="6"/>
  <c r="DC78" i="6"/>
  <c r="DB78" i="6"/>
  <c r="DB71" i="6"/>
  <c r="DB64" i="6"/>
  <c r="DF57" i="6"/>
  <c r="DM15" i="6"/>
  <c r="DK15" i="6"/>
  <c r="DJ15" i="6"/>
  <c r="DI15" i="6"/>
  <c r="DH15" i="6"/>
  <c r="DF15" i="6"/>
  <c r="DC15" i="6"/>
  <c r="DB15" i="6"/>
  <c r="DL15" i="6"/>
  <c r="BH36" i="2"/>
  <c r="BT36" i="2" s="1"/>
  <c r="BG36" i="2"/>
  <c r="BG43" i="2"/>
  <c r="BH43" i="2"/>
  <c r="BT10" i="2"/>
  <c r="BT11" i="2"/>
  <c r="BT12" i="2"/>
  <c r="BT13" i="2"/>
  <c r="BT14" i="2"/>
  <c r="BT17" i="2"/>
  <c r="BT18" i="2"/>
  <c r="BT19" i="2"/>
  <c r="BT20" i="2"/>
  <c r="BT21" i="2"/>
  <c r="BT24" i="2"/>
  <c r="BT25" i="2"/>
  <c r="BT26" i="2"/>
  <c r="BT27" i="2"/>
  <c r="BT28" i="2"/>
  <c r="BT31" i="2"/>
  <c r="BT32" i="2"/>
  <c r="BT33" i="2"/>
  <c r="BT34" i="2"/>
  <c r="BT35" i="2"/>
  <c r="BT38" i="2"/>
  <c r="BT39" i="2"/>
  <c r="BT40" i="2"/>
  <c r="BT41" i="2"/>
  <c r="BT42" i="2"/>
  <c r="BT45" i="2"/>
  <c r="BT46" i="2"/>
  <c r="BT67" i="2" s="1"/>
  <c r="BT47" i="2"/>
  <c r="BT68" i="2" s="1"/>
  <c r="BT48" i="2"/>
  <c r="BT49" i="2"/>
  <c r="BT50" i="2"/>
  <c r="BT52" i="2"/>
  <c r="BT53" i="2"/>
  <c r="BT54" i="2"/>
  <c r="BT55" i="2"/>
  <c r="BT69" i="2" s="1"/>
  <c r="BT56" i="2"/>
  <c r="BT57" i="2"/>
  <c r="BT59" i="2"/>
  <c r="BT60" i="2"/>
  <c r="BT61" i="2"/>
  <c r="BT62" i="2"/>
  <c r="BT63" i="2"/>
  <c r="BT64" i="2"/>
  <c r="BT66" i="2"/>
  <c r="BT71" i="2" s="1"/>
  <c r="BT70" i="2"/>
  <c r="BT73" i="2"/>
  <c r="BT74" i="2"/>
  <c r="BT75" i="2"/>
  <c r="BT76" i="2"/>
  <c r="BT77" i="2"/>
  <c r="BT78" i="2"/>
  <c r="BT80" i="2"/>
  <c r="BT81" i="2"/>
  <c r="BT82" i="2"/>
  <c r="BT83" i="2"/>
  <c r="BT84" i="2"/>
  <c r="BT85" i="2"/>
  <c r="BT94" i="2"/>
  <c r="BT95" i="2"/>
  <c r="BT96" i="2"/>
  <c r="BT97" i="2"/>
  <c r="BT98" i="2"/>
  <c r="BT99" i="2"/>
  <c r="BT101" i="2"/>
  <c r="BT106" i="2"/>
  <c r="BT108" i="2"/>
  <c r="BT113" i="2"/>
  <c r="BT115" i="2"/>
  <c r="BT116" i="2"/>
  <c r="BT117" i="2"/>
  <c r="BT118" i="2"/>
  <c r="BT119" i="2"/>
  <c r="BT120" i="2"/>
  <c r="BT122" i="2"/>
  <c r="BT123" i="2"/>
  <c r="BT124" i="2"/>
  <c r="BT125" i="2"/>
  <c r="BT126" i="2"/>
  <c r="BT127" i="2"/>
  <c r="BT129" i="2"/>
  <c r="BT130" i="2"/>
  <c r="BT131" i="2"/>
  <c r="BT132" i="2"/>
  <c r="BT133" i="2"/>
  <c r="BT134" i="2"/>
  <c r="BT136" i="2"/>
  <c r="BT137" i="2"/>
  <c r="BT138" i="2"/>
  <c r="BT139" i="2"/>
  <c r="BT140" i="2"/>
  <c r="BT141" i="2"/>
  <c r="BH141" i="2"/>
  <c r="BG134" i="2"/>
  <c r="BH134" i="2"/>
  <c r="BH127" i="2"/>
  <c r="BH120" i="2"/>
  <c r="BH113" i="2"/>
  <c r="BH99" i="2"/>
  <c r="BH85" i="2"/>
  <c r="BH78" i="2"/>
  <c r="BH71" i="2"/>
  <c r="BH64" i="2"/>
  <c r="BH57" i="2"/>
  <c r="BH50" i="2"/>
  <c r="BT43" i="2"/>
  <c r="BH29" i="2"/>
  <c r="BT29" i="2" s="1"/>
  <c r="BH22" i="2"/>
  <c r="BT22" i="2" s="1"/>
  <c r="BH15" i="2"/>
  <c r="BT15" i="2" s="1"/>
  <c r="DA101" i="6"/>
  <c r="DA102" i="6"/>
  <c r="DA103" i="6"/>
  <c r="DA73" i="6"/>
  <c r="DA74" i="6"/>
  <c r="DA75" i="6"/>
  <c r="DA76" i="6"/>
  <c r="DA77" i="6"/>
  <c r="DA80" i="6"/>
  <c r="DA94" i="6" s="1"/>
  <c r="DA81" i="6"/>
  <c r="DA95" i="6" s="1"/>
  <c r="DA82" i="6"/>
  <c r="DA96" i="6" s="1"/>
  <c r="DA83" i="6"/>
  <c r="DA97" i="6" s="1"/>
  <c r="DA84" i="6"/>
  <c r="DA98" i="6" s="1"/>
  <c r="DA45" i="6"/>
  <c r="DA46" i="6"/>
  <c r="DA47" i="6"/>
  <c r="DA48" i="6"/>
  <c r="DA49" i="6"/>
  <c r="DA52" i="6"/>
  <c r="DA53" i="6"/>
  <c r="DA54" i="6"/>
  <c r="DA55" i="6"/>
  <c r="DA56" i="6"/>
  <c r="DA57" i="6"/>
  <c r="DA59" i="6"/>
  <c r="DA60" i="6"/>
  <c r="DA61" i="6"/>
  <c r="DA62" i="6"/>
  <c r="DA63" i="6"/>
  <c r="DA64" i="6"/>
  <c r="DA66" i="6"/>
  <c r="DA67" i="6"/>
  <c r="DA68" i="6"/>
  <c r="DA69" i="6"/>
  <c r="DA70" i="6"/>
  <c r="DA71" i="6"/>
  <c r="DA17" i="6"/>
  <c r="DA18" i="6"/>
  <c r="DA19" i="6"/>
  <c r="DA20" i="6"/>
  <c r="DA21" i="6"/>
  <c r="DA22" i="6"/>
  <c r="DA24" i="6"/>
  <c r="DA25" i="6"/>
  <c r="DA26" i="6"/>
  <c r="DA27" i="6"/>
  <c r="DA28" i="6"/>
  <c r="DA29" i="6"/>
  <c r="DA31" i="6"/>
  <c r="DA32" i="6"/>
  <c r="DA33" i="6"/>
  <c r="DA34" i="6"/>
  <c r="DA35" i="6"/>
  <c r="DA36" i="6"/>
  <c r="DA38" i="6"/>
  <c r="DA39" i="6"/>
  <c r="DA40" i="6"/>
  <c r="DA41" i="6"/>
  <c r="DA42" i="6"/>
  <c r="DA43" i="6"/>
  <c r="DA10" i="6"/>
  <c r="DA11" i="6"/>
  <c r="DA12" i="6"/>
  <c r="DA13" i="6"/>
  <c r="DA14" i="6"/>
  <c r="CO141" i="6"/>
  <c r="CO127" i="6"/>
  <c r="CO99" i="6"/>
  <c r="CO85" i="6"/>
  <c r="CO78" i="6"/>
  <c r="CO15" i="6"/>
  <c r="DA15" i="6" s="1"/>
  <c r="DQ134" i="6" l="1"/>
  <c r="DB99" i="6"/>
  <c r="DB120" i="6" s="1"/>
  <c r="DN127" i="6"/>
  <c r="DA99" i="6"/>
  <c r="DK99" i="6"/>
  <c r="DK120" i="6" s="1"/>
  <c r="DV141" i="6"/>
  <c r="DH99" i="6"/>
  <c r="DH120" i="6" s="1"/>
  <c r="DN134" i="6"/>
  <c r="DV127" i="6"/>
  <c r="DU127" i="6"/>
  <c r="DO141" i="6"/>
  <c r="DR134" i="6"/>
  <c r="DU141" i="6"/>
  <c r="DN141" i="6"/>
  <c r="DC99" i="6"/>
  <c r="DC120" i="6" s="1"/>
  <c r="DO127" i="6"/>
  <c r="DS141" i="6"/>
  <c r="DO134" i="6"/>
  <c r="DW134" i="6"/>
  <c r="DS127" i="6"/>
  <c r="DR141" i="6"/>
  <c r="DT141" i="6"/>
  <c r="DX141" i="6"/>
  <c r="DP141" i="6"/>
  <c r="DY141" i="6"/>
  <c r="DQ141" i="6"/>
  <c r="DW141" i="6"/>
  <c r="DV134" i="6"/>
  <c r="DX134" i="6"/>
  <c r="DP134" i="6"/>
  <c r="DT134" i="6"/>
  <c r="DR127" i="6"/>
  <c r="DT127" i="6"/>
  <c r="DX127" i="6"/>
  <c r="DP127" i="6"/>
  <c r="DI99" i="6"/>
  <c r="DI120" i="6" s="1"/>
  <c r="DU134" i="6"/>
  <c r="DS134" i="6"/>
  <c r="DY127" i="6"/>
  <c r="DQ127" i="6"/>
  <c r="DW127" i="6"/>
  <c r="DJ99" i="6"/>
  <c r="DJ120" i="6" s="1"/>
  <c r="DF99" i="6"/>
  <c r="DF120" i="6" s="1"/>
  <c r="DM99" i="6"/>
  <c r="DM120" i="6" s="1"/>
  <c r="DL99" i="6"/>
  <c r="DL120" i="6" s="1"/>
  <c r="DD95" i="6"/>
  <c r="DE95" i="6"/>
  <c r="CH66" i="6"/>
  <c r="CI66" i="6"/>
  <c r="CJ66" i="6"/>
  <c r="CK66" i="6"/>
  <c r="CL66" i="6"/>
  <c r="CZ103" i="6"/>
  <c r="CZ102" i="6"/>
  <c r="CZ101" i="6"/>
  <c r="CZ84" i="6"/>
  <c r="CZ98" i="6" s="1"/>
  <c r="CZ77" i="6"/>
  <c r="CZ70" i="6"/>
  <c r="CZ67" i="6"/>
  <c r="CZ63" i="6"/>
  <c r="CZ62" i="6"/>
  <c r="CZ61" i="6"/>
  <c r="CZ60" i="6"/>
  <c r="CZ59" i="6"/>
  <c r="CZ57" i="6"/>
  <c r="CZ56" i="6"/>
  <c r="CZ55" i="6"/>
  <c r="CZ54" i="6"/>
  <c r="CZ53" i="6"/>
  <c r="CZ52" i="6"/>
  <c r="CZ49" i="6"/>
  <c r="CZ46" i="6"/>
  <c r="CZ43" i="6"/>
  <c r="CZ42" i="6"/>
  <c r="CZ41" i="6"/>
  <c r="CZ40" i="6"/>
  <c r="CZ39" i="6"/>
  <c r="CZ38" i="6"/>
  <c r="CZ36" i="6"/>
  <c r="CZ35" i="6"/>
  <c r="CZ34" i="6"/>
  <c r="CZ33" i="6"/>
  <c r="CZ32" i="6"/>
  <c r="CZ31" i="6"/>
  <c r="CZ29" i="6"/>
  <c r="CZ28" i="6"/>
  <c r="CZ27" i="6"/>
  <c r="CZ25" i="6"/>
  <c r="CZ21" i="6"/>
  <c r="CZ20" i="6"/>
  <c r="CZ18" i="6"/>
  <c r="CZ14" i="6"/>
  <c r="CN141" i="6"/>
  <c r="CM141" i="6"/>
  <c r="CN113" i="6"/>
  <c r="CN106" i="6"/>
  <c r="CN64" i="6"/>
  <c r="CM64" i="6"/>
  <c r="CM71" i="6"/>
  <c r="CL64" i="6"/>
  <c r="CK64" i="6"/>
  <c r="CJ64" i="6"/>
  <c r="CI64" i="6"/>
  <c r="BG127" i="2"/>
  <c r="BG113" i="2"/>
  <c r="BS113" i="2" s="1"/>
  <c r="BS141" i="2"/>
  <c r="BS140" i="2"/>
  <c r="BS139" i="2"/>
  <c r="BS138" i="2"/>
  <c r="BS137" i="2"/>
  <c r="BS136" i="2"/>
  <c r="BS134" i="2"/>
  <c r="BS133" i="2"/>
  <c r="BS132" i="2"/>
  <c r="BS131" i="2"/>
  <c r="BS130" i="2"/>
  <c r="BS129" i="2"/>
  <c r="BS127" i="2"/>
  <c r="BS126" i="2"/>
  <c r="BS125" i="2"/>
  <c r="BS124" i="2"/>
  <c r="BS123" i="2"/>
  <c r="BS122" i="2"/>
  <c r="BS120" i="2"/>
  <c r="BS119" i="2"/>
  <c r="BS118" i="2"/>
  <c r="BS117" i="2"/>
  <c r="BS116" i="2"/>
  <c r="BS115" i="2"/>
  <c r="BS108" i="2"/>
  <c r="BS106" i="2"/>
  <c r="BS101" i="2"/>
  <c r="BS99" i="2"/>
  <c r="BS98" i="2"/>
  <c r="BS97" i="2"/>
  <c r="BS96" i="2"/>
  <c r="BS95" i="2"/>
  <c r="BS94" i="2"/>
  <c r="BS85" i="2"/>
  <c r="BS84" i="2"/>
  <c r="BS83" i="2"/>
  <c r="BS82" i="2"/>
  <c r="BS81" i="2"/>
  <c r="BS80" i="2"/>
  <c r="BS78" i="2"/>
  <c r="BS77" i="2"/>
  <c r="BS76" i="2"/>
  <c r="BS75" i="2"/>
  <c r="BS74" i="2"/>
  <c r="BS73" i="2"/>
  <c r="BS69" i="2"/>
  <c r="BS64" i="2"/>
  <c r="BS63" i="2"/>
  <c r="BS70" i="2" s="1"/>
  <c r="BS62" i="2"/>
  <c r="BS61" i="2"/>
  <c r="BS60" i="2"/>
  <c r="BS59" i="2"/>
  <c r="BS57" i="2"/>
  <c r="BS56" i="2"/>
  <c r="BS55" i="2"/>
  <c r="BS54" i="2"/>
  <c r="BS53" i="2"/>
  <c r="BS52" i="2"/>
  <c r="BS50" i="2"/>
  <c r="BS49" i="2"/>
  <c r="BS48" i="2"/>
  <c r="BS47" i="2"/>
  <c r="BS68" i="2" s="1"/>
  <c r="BS46" i="2"/>
  <c r="BS67" i="2" s="1"/>
  <c r="BS45" i="2"/>
  <c r="BS66" i="2" s="1"/>
  <c r="BS43" i="2"/>
  <c r="BS42" i="2"/>
  <c r="BS41" i="2"/>
  <c r="BS40" i="2"/>
  <c r="BS39" i="2"/>
  <c r="BS38" i="2"/>
  <c r="BS36" i="2"/>
  <c r="BS35" i="2"/>
  <c r="BS34" i="2"/>
  <c r="BS33" i="2"/>
  <c r="BS32" i="2"/>
  <c r="BS31" i="2"/>
  <c r="BS29" i="2"/>
  <c r="BS28" i="2"/>
  <c r="BS27" i="2"/>
  <c r="BS26" i="2"/>
  <c r="BS25" i="2"/>
  <c r="BS24" i="2"/>
  <c r="BS22" i="2"/>
  <c r="BS21" i="2"/>
  <c r="BS20" i="2"/>
  <c r="BS19" i="2"/>
  <c r="BS18" i="2"/>
  <c r="BS17" i="2"/>
  <c r="BS15" i="2"/>
  <c r="BS14" i="2"/>
  <c r="BS13" i="2"/>
  <c r="BS12" i="2"/>
  <c r="BS11" i="2"/>
  <c r="BS10" i="2"/>
  <c r="CN97" i="6"/>
  <c r="CN96" i="6"/>
  <c r="CN95" i="6"/>
  <c r="CN94" i="6"/>
  <c r="CN83" i="6"/>
  <c r="CN82" i="6"/>
  <c r="CN81" i="6"/>
  <c r="CN80" i="6"/>
  <c r="DX80" i="6" s="1"/>
  <c r="CN76" i="6"/>
  <c r="DX76" i="6" s="1"/>
  <c r="CN75" i="6"/>
  <c r="DX75" i="6" s="1"/>
  <c r="CN74" i="6"/>
  <c r="DX74" i="6" s="1"/>
  <c r="CN73" i="6"/>
  <c r="DX73" i="6" s="1"/>
  <c r="CN69" i="6"/>
  <c r="DX69" i="6" s="1"/>
  <c r="CN68" i="6"/>
  <c r="DX68" i="6" s="1"/>
  <c r="CN66" i="6"/>
  <c r="DX66" i="6" s="1"/>
  <c r="CN48" i="6"/>
  <c r="DX48" i="6" s="1"/>
  <c r="CN47" i="6"/>
  <c r="DX47" i="6" s="1"/>
  <c r="CN45" i="6"/>
  <c r="CN26" i="6"/>
  <c r="DX26" i="6" s="1"/>
  <c r="CN24" i="6"/>
  <c r="CN19" i="6"/>
  <c r="DX19" i="6" s="1"/>
  <c r="CN17" i="6"/>
  <c r="DX17" i="6" s="1"/>
  <c r="CN13" i="6"/>
  <c r="DX13" i="6" s="1"/>
  <c r="CN12" i="6"/>
  <c r="DX12" i="6" s="1"/>
  <c r="CN11" i="6"/>
  <c r="DX11" i="6" s="1"/>
  <c r="CN10" i="6"/>
  <c r="DX10" i="6" s="1"/>
  <c r="DV66" i="6" l="1"/>
  <c r="DV71" i="6" s="1"/>
  <c r="DX24" i="6"/>
  <c r="DX29" i="6" s="1"/>
  <c r="DU66" i="6"/>
  <c r="DU71" i="6" s="1"/>
  <c r="DX81" i="6"/>
  <c r="DT66" i="6"/>
  <c r="DT71" i="6" s="1"/>
  <c r="DX78" i="6"/>
  <c r="DX82" i="6"/>
  <c r="DX96" i="6" s="1"/>
  <c r="DS66" i="6"/>
  <c r="DS71" i="6" s="1"/>
  <c r="DX45" i="6"/>
  <c r="DX50" i="6" s="1"/>
  <c r="DX83" i="6"/>
  <c r="DX97" i="6" s="1"/>
  <c r="DR66" i="6"/>
  <c r="DR71" i="6" s="1"/>
  <c r="DX22" i="6"/>
  <c r="DX15" i="6"/>
  <c r="DX94" i="6"/>
  <c r="DX71" i="6"/>
  <c r="CJ71" i="6"/>
  <c r="CK71" i="6"/>
  <c r="CN50" i="6"/>
  <c r="CN78" i="6"/>
  <c r="CZ78" i="6" s="1"/>
  <c r="CZ13" i="6"/>
  <c r="CI71" i="6"/>
  <c r="CZ69" i="6"/>
  <c r="CZ24" i="6"/>
  <c r="CZ80" i="6"/>
  <c r="CZ94" i="6" s="1"/>
  <c r="CN71" i="6"/>
  <c r="CN22" i="6"/>
  <c r="CZ81" i="6"/>
  <c r="CZ95" i="6" s="1"/>
  <c r="CL71" i="6"/>
  <c r="CZ17" i="6"/>
  <c r="CZ26" i="6"/>
  <c r="CZ45" i="6"/>
  <c r="CZ73" i="6"/>
  <c r="CZ82" i="6"/>
  <c r="CZ96" i="6" s="1"/>
  <c r="DD99" i="6"/>
  <c r="DD120" i="6" s="1"/>
  <c r="CN85" i="6"/>
  <c r="CZ64" i="6"/>
  <c r="CZ74" i="6"/>
  <c r="CZ83" i="6"/>
  <c r="CZ97" i="6" s="1"/>
  <c r="CN99" i="6"/>
  <c r="CZ10" i="6"/>
  <c r="CZ19" i="6"/>
  <c r="CZ47" i="6"/>
  <c r="CZ66" i="6"/>
  <c r="CZ75" i="6"/>
  <c r="CZ11" i="6"/>
  <c r="CZ48" i="6"/>
  <c r="CZ76" i="6"/>
  <c r="CN15" i="6"/>
  <c r="CZ12" i="6"/>
  <c r="CZ68" i="6"/>
  <c r="DE99" i="6"/>
  <c r="DE120" i="6" s="1"/>
  <c r="BS71" i="2"/>
  <c r="BG141" i="2"/>
  <c r="BG138" i="2"/>
  <c r="BG136" i="2"/>
  <c r="BG115" i="2"/>
  <c r="BG116" i="2"/>
  <c r="BG117" i="2"/>
  <c r="BG118" i="2"/>
  <c r="BG119" i="2"/>
  <c r="BG120" i="2"/>
  <c r="BG98" i="2"/>
  <c r="BG97" i="2"/>
  <c r="BG96" i="2"/>
  <c r="BG95" i="2"/>
  <c r="BG94" i="2"/>
  <c r="BG99" i="2" s="1"/>
  <c r="BG84" i="2"/>
  <c r="BG85" i="2" s="1"/>
  <c r="BG83" i="2"/>
  <c r="BG82" i="2"/>
  <c r="BG81" i="2"/>
  <c r="BG80" i="2"/>
  <c r="BG78" i="2"/>
  <c r="BG77" i="2"/>
  <c r="BG76" i="2"/>
  <c r="BG75" i="2"/>
  <c r="BG74" i="2"/>
  <c r="BG73" i="2"/>
  <c r="BG59" i="2"/>
  <c r="BG69" i="2"/>
  <c r="BG68" i="2"/>
  <c r="BG67" i="2"/>
  <c r="BG66" i="2"/>
  <c r="BG71" i="2" s="1"/>
  <c r="BG64" i="2"/>
  <c r="BG62" i="2"/>
  <c r="BG61" i="2"/>
  <c r="BG60" i="2"/>
  <c r="BG57" i="2"/>
  <c r="BG55" i="2"/>
  <c r="BG54" i="2"/>
  <c r="BG53" i="2"/>
  <c r="BG52" i="2"/>
  <c r="BG50" i="2"/>
  <c r="BG48" i="2"/>
  <c r="BG47" i="2"/>
  <c r="BG46" i="2"/>
  <c r="BG45" i="2"/>
  <c r="BG40" i="2"/>
  <c r="BG41" i="2"/>
  <c r="BG39" i="2"/>
  <c r="BG38" i="2"/>
  <c r="BG34" i="2"/>
  <c r="BG33" i="2"/>
  <c r="BG32" i="2"/>
  <c r="BG31" i="2"/>
  <c r="BG29" i="2"/>
  <c r="BG27" i="2"/>
  <c r="BG26" i="2"/>
  <c r="BG25" i="2"/>
  <c r="BG24" i="2"/>
  <c r="BG22" i="2"/>
  <c r="BG20" i="2"/>
  <c r="BG19" i="2"/>
  <c r="BG18" i="2"/>
  <c r="BG17" i="2"/>
  <c r="BG15" i="2"/>
  <c r="BG14" i="2"/>
  <c r="BG13" i="2"/>
  <c r="BG12" i="2"/>
  <c r="BG11" i="2"/>
  <c r="BG10" i="2"/>
  <c r="DX85" i="6" l="1"/>
  <c r="DX95" i="6"/>
  <c r="DX99" i="6"/>
  <c r="CZ99" i="6"/>
  <c r="CZ22" i="6"/>
  <c r="CZ71" i="6"/>
  <c r="CZ15" i="6"/>
  <c r="BR141" i="2"/>
  <c r="BQ141" i="2"/>
  <c r="BP141" i="2"/>
  <c r="BR140" i="2"/>
  <c r="BQ140" i="2"/>
  <c r="BP140" i="2"/>
  <c r="BR139" i="2"/>
  <c r="BQ139" i="2"/>
  <c r="BP139" i="2"/>
  <c r="BR138" i="2"/>
  <c r="BQ138" i="2"/>
  <c r="BP138" i="2"/>
  <c r="BR137" i="2"/>
  <c r="BQ137" i="2"/>
  <c r="BP137" i="2"/>
  <c r="BR136" i="2"/>
  <c r="BQ136" i="2"/>
  <c r="BP136" i="2"/>
  <c r="BR134" i="2"/>
  <c r="BQ134" i="2"/>
  <c r="BP134" i="2"/>
  <c r="BR133" i="2"/>
  <c r="BQ133" i="2"/>
  <c r="BP133" i="2"/>
  <c r="BR132" i="2"/>
  <c r="BQ132" i="2"/>
  <c r="BP132" i="2"/>
  <c r="BR131" i="2"/>
  <c r="BQ131" i="2"/>
  <c r="BP131" i="2"/>
  <c r="BR130" i="2"/>
  <c r="BQ130" i="2"/>
  <c r="BP130" i="2"/>
  <c r="BR129" i="2"/>
  <c r="BQ129" i="2"/>
  <c r="BP129" i="2"/>
  <c r="BR127" i="2"/>
  <c r="BQ127" i="2"/>
  <c r="BP127" i="2"/>
  <c r="BR126" i="2"/>
  <c r="BQ126" i="2"/>
  <c r="BP126" i="2"/>
  <c r="BR125" i="2"/>
  <c r="BQ125" i="2"/>
  <c r="BP125" i="2"/>
  <c r="BR124" i="2"/>
  <c r="BQ124" i="2"/>
  <c r="BP124" i="2"/>
  <c r="BR123" i="2"/>
  <c r="BQ123" i="2"/>
  <c r="BP123" i="2"/>
  <c r="BR122" i="2"/>
  <c r="BQ122" i="2"/>
  <c r="BP122" i="2"/>
  <c r="BR120" i="2"/>
  <c r="BQ120" i="2"/>
  <c r="BP120" i="2"/>
  <c r="BR119" i="2"/>
  <c r="BQ119" i="2"/>
  <c r="BP119" i="2"/>
  <c r="BR118" i="2"/>
  <c r="BQ118" i="2"/>
  <c r="BP118" i="2"/>
  <c r="BR117" i="2"/>
  <c r="BQ117" i="2"/>
  <c r="BP117" i="2"/>
  <c r="BR116" i="2"/>
  <c r="BQ116" i="2"/>
  <c r="BP116" i="2"/>
  <c r="BR115" i="2"/>
  <c r="BQ115" i="2"/>
  <c r="BP115" i="2"/>
  <c r="BR113" i="2"/>
  <c r="BQ113" i="2"/>
  <c r="BP113" i="2"/>
  <c r="BR108" i="2"/>
  <c r="BQ108" i="2"/>
  <c r="BP108" i="2"/>
  <c r="BR106" i="2"/>
  <c r="BQ106" i="2"/>
  <c r="BP106" i="2"/>
  <c r="BR101" i="2"/>
  <c r="BQ101" i="2"/>
  <c r="BP101" i="2"/>
  <c r="BR99" i="2"/>
  <c r="BQ99" i="2"/>
  <c r="BP99" i="2"/>
  <c r="BR98" i="2"/>
  <c r="BQ98" i="2"/>
  <c r="BP98" i="2"/>
  <c r="BR97" i="2"/>
  <c r="BQ97" i="2"/>
  <c r="BP97" i="2"/>
  <c r="BR96" i="2"/>
  <c r="BQ96" i="2"/>
  <c r="BP96" i="2"/>
  <c r="BR95" i="2"/>
  <c r="BQ95" i="2"/>
  <c r="BP95" i="2"/>
  <c r="BR94" i="2"/>
  <c r="BQ94" i="2"/>
  <c r="BP94" i="2"/>
  <c r="BR85" i="2"/>
  <c r="BQ85" i="2"/>
  <c r="BP85" i="2"/>
  <c r="BR84" i="2"/>
  <c r="BQ84" i="2"/>
  <c r="BP84" i="2"/>
  <c r="BR83" i="2"/>
  <c r="BQ83" i="2"/>
  <c r="BP83" i="2"/>
  <c r="BR82" i="2"/>
  <c r="BQ82" i="2"/>
  <c r="BP82" i="2"/>
  <c r="BR81" i="2"/>
  <c r="BQ81" i="2"/>
  <c r="BP81" i="2"/>
  <c r="BR80" i="2"/>
  <c r="BQ80" i="2"/>
  <c r="BP80" i="2"/>
  <c r="BR78" i="2"/>
  <c r="BQ78" i="2"/>
  <c r="BP78" i="2"/>
  <c r="BR77" i="2"/>
  <c r="BQ77" i="2"/>
  <c r="BP77" i="2"/>
  <c r="BR76" i="2"/>
  <c r="BQ76" i="2"/>
  <c r="BP76" i="2"/>
  <c r="BR75" i="2"/>
  <c r="BQ75" i="2"/>
  <c r="BP75" i="2"/>
  <c r="BR74" i="2"/>
  <c r="BQ74" i="2"/>
  <c r="BP74" i="2"/>
  <c r="BR73" i="2"/>
  <c r="BQ73" i="2"/>
  <c r="BP73" i="2"/>
  <c r="BP70" i="2"/>
  <c r="BR67" i="2"/>
  <c r="BQ67" i="2"/>
  <c r="BR64" i="2"/>
  <c r="BQ64" i="2"/>
  <c r="BP64" i="2"/>
  <c r="BR63" i="2"/>
  <c r="BQ63" i="2"/>
  <c r="BP63" i="2"/>
  <c r="BR62" i="2"/>
  <c r="BQ62" i="2"/>
  <c r="BP62" i="2"/>
  <c r="BR61" i="2"/>
  <c r="BQ61" i="2"/>
  <c r="BP61" i="2"/>
  <c r="BR60" i="2"/>
  <c r="BQ60" i="2"/>
  <c r="BP60" i="2"/>
  <c r="BR59" i="2"/>
  <c r="BQ59" i="2"/>
  <c r="BP59" i="2"/>
  <c r="BR57" i="2"/>
  <c r="BQ57" i="2"/>
  <c r="BP57" i="2"/>
  <c r="BR56" i="2"/>
  <c r="BR70" i="2" s="1"/>
  <c r="BQ56" i="2"/>
  <c r="BP56" i="2"/>
  <c r="BR55" i="2"/>
  <c r="BQ55" i="2"/>
  <c r="BP55" i="2"/>
  <c r="BR54" i="2"/>
  <c r="BQ54" i="2"/>
  <c r="BQ68" i="2" s="1"/>
  <c r="BP54" i="2"/>
  <c r="BP68" i="2" s="1"/>
  <c r="BR53" i="2"/>
  <c r="BQ53" i="2"/>
  <c r="BP53" i="2"/>
  <c r="BR52" i="2"/>
  <c r="BQ52" i="2"/>
  <c r="BP52" i="2"/>
  <c r="BR50" i="2"/>
  <c r="BQ50" i="2"/>
  <c r="BP50" i="2"/>
  <c r="BR49" i="2"/>
  <c r="BQ49" i="2"/>
  <c r="BQ70" i="2" s="1"/>
  <c r="BP49" i="2"/>
  <c r="BR48" i="2"/>
  <c r="BR69" i="2" s="1"/>
  <c r="BQ48" i="2"/>
  <c r="BQ69" i="2" s="1"/>
  <c r="BP48" i="2"/>
  <c r="BP69" i="2" s="1"/>
  <c r="BR47" i="2"/>
  <c r="BR68" i="2" s="1"/>
  <c r="BQ47" i="2"/>
  <c r="BP47" i="2"/>
  <c r="BR46" i="2"/>
  <c r="BQ46" i="2"/>
  <c r="BP46" i="2"/>
  <c r="BP67" i="2" s="1"/>
  <c r="BR45" i="2"/>
  <c r="BR66" i="2" s="1"/>
  <c r="BQ45" i="2"/>
  <c r="BQ66" i="2" s="1"/>
  <c r="BQ71" i="2" s="1"/>
  <c r="BP45" i="2"/>
  <c r="BP66" i="2" s="1"/>
  <c r="BP71" i="2" s="1"/>
  <c r="BR43" i="2"/>
  <c r="BQ43" i="2"/>
  <c r="BP43" i="2"/>
  <c r="BR42" i="2"/>
  <c r="BQ42" i="2"/>
  <c r="BP42" i="2"/>
  <c r="BR41" i="2"/>
  <c r="BQ41" i="2"/>
  <c r="BP41" i="2"/>
  <c r="BR40" i="2"/>
  <c r="BQ40" i="2"/>
  <c r="BP40" i="2"/>
  <c r="BR39" i="2"/>
  <c r="BQ39" i="2"/>
  <c r="BP39" i="2"/>
  <c r="BR38" i="2"/>
  <c r="BQ38" i="2"/>
  <c r="BP38" i="2"/>
  <c r="BR36" i="2"/>
  <c r="BQ36" i="2"/>
  <c r="BP36" i="2"/>
  <c r="BR35" i="2"/>
  <c r="BQ35" i="2"/>
  <c r="BP35" i="2"/>
  <c r="BR34" i="2"/>
  <c r="BQ34" i="2"/>
  <c r="BP34" i="2"/>
  <c r="BR33" i="2"/>
  <c r="BQ33" i="2"/>
  <c r="BP33" i="2"/>
  <c r="BR32" i="2"/>
  <c r="BQ32" i="2"/>
  <c r="BP32" i="2"/>
  <c r="BR31" i="2"/>
  <c r="BQ31" i="2"/>
  <c r="BP31" i="2"/>
  <c r="BR29" i="2"/>
  <c r="BQ29" i="2"/>
  <c r="BP29" i="2"/>
  <c r="BR28" i="2"/>
  <c r="BQ28" i="2"/>
  <c r="BP28" i="2"/>
  <c r="BR27" i="2"/>
  <c r="BQ27" i="2"/>
  <c r="BP27" i="2"/>
  <c r="BR26" i="2"/>
  <c r="BQ26" i="2"/>
  <c r="BP26" i="2"/>
  <c r="BR25" i="2"/>
  <c r="BQ25" i="2"/>
  <c r="BP25" i="2"/>
  <c r="BR24" i="2"/>
  <c r="BQ24" i="2"/>
  <c r="BP24" i="2"/>
  <c r="BR22" i="2"/>
  <c r="BQ22" i="2"/>
  <c r="BP22" i="2"/>
  <c r="BR21" i="2"/>
  <c r="BQ21" i="2"/>
  <c r="BP21" i="2"/>
  <c r="BR20" i="2"/>
  <c r="BQ20" i="2"/>
  <c r="BP20" i="2"/>
  <c r="BR19" i="2"/>
  <c r="BQ19" i="2"/>
  <c r="BP19" i="2"/>
  <c r="BR18" i="2"/>
  <c r="BQ18" i="2"/>
  <c r="BP18" i="2"/>
  <c r="BR17" i="2"/>
  <c r="BQ17" i="2"/>
  <c r="BP17" i="2"/>
  <c r="BR15" i="2"/>
  <c r="BQ15" i="2"/>
  <c r="BP15" i="2"/>
  <c r="BR14" i="2"/>
  <c r="BQ14" i="2"/>
  <c r="BP14" i="2"/>
  <c r="BR13" i="2"/>
  <c r="BQ13" i="2"/>
  <c r="BP13" i="2"/>
  <c r="BR12" i="2"/>
  <c r="BQ12" i="2"/>
  <c r="BP12" i="2"/>
  <c r="BR11" i="2"/>
  <c r="BQ11" i="2"/>
  <c r="BP11" i="2"/>
  <c r="BR10" i="2"/>
  <c r="BQ10" i="2"/>
  <c r="BP10" i="2"/>
  <c r="CY103" i="6"/>
  <c r="CX103" i="6"/>
  <c r="CW103" i="6"/>
  <c r="CY102" i="6"/>
  <c r="CX102" i="6"/>
  <c r="CW102" i="6"/>
  <c r="CY101" i="6"/>
  <c r="CX101" i="6"/>
  <c r="CW101" i="6"/>
  <c r="CY84" i="6"/>
  <c r="CY98" i="6" s="1"/>
  <c r="CX84" i="6"/>
  <c r="CX98" i="6" s="1"/>
  <c r="CW84" i="6"/>
  <c r="CW98" i="6" s="1"/>
  <c r="CX83" i="6"/>
  <c r="CX97" i="6" s="1"/>
  <c r="CW83" i="6"/>
  <c r="CW97" i="6" s="1"/>
  <c r="CX82" i="6"/>
  <c r="CX96" i="6" s="1"/>
  <c r="CW82" i="6"/>
  <c r="CW96" i="6" s="1"/>
  <c r="CX81" i="6"/>
  <c r="CX95" i="6" s="1"/>
  <c r="CW81" i="6"/>
  <c r="CW95" i="6" s="1"/>
  <c r="CX80" i="6"/>
  <c r="CX94" i="6" s="1"/>
  <c r="CW80" i="6"/>
  <c r="CW94" i="6" s="1"/>
  <c r="CX78" i="6"/>
  <c r="CW78" i="6"/>
  <c r="CY77" i="6"/>
  <c r="CX77" i="6"/>
  <c r="CW77" i="6"/>
  <c r="CX76" i="6"/>
  <c r="CW76" i="6"/>
  <c r="CX75" i="6"/>
  <c r="CW75" i="6"/>
  <c r="CX74" i="6"/>
  <c r="CW74" i="6"/>
  <c r="CX73" i="6"/>
  <c r="CW73" i="6"/>
  <c r="CY71" i="6"/>
  <c r="CX71" i="6"/>
  <c r="CW71" i="6"/>
  <c r="CY70" i="6"/>
  <c r="CX70" i="6"/>
  <c r="CW70" i="6"/>
  <c r="CY69" i="6"/>
  <c r="CX69" i="6"/>
  <c r="CW69" i="6"/>
  <c r="CY68" i="6"/>
  <c r="CX68" i="6"/>
  <c r="CW68" i="6"/>
  <c r="CY67" i="6"/>
  <c r="CX67" i="6"/>
  <c r="CW67" i="6"/>
  <c r="CY66" i="6"/>
  <c r="CX66" i="6"/>
  <c r="CW66" i="6"/>
  <c r="CX64" i="6"/>
  <c r="CW64" i="6"/>
  <c r="CY63" i="6"/>
  <c r="CX63" i="6"/>
  <c r="CW63" i="6"/>
  <c r="CY62" i="6"/>
  <c r="CX62" i="6"/>
  <c r="CW62" i="6"/>
  <c r="CY61" i="6"/>
  <c r="CX61" i="6"/>
  <c r="CW61" i="6"/>
  <c r="CY60" i="6"/>
  <c r="CX60" i="6"/>
  <c r="CW60" i="6"/>
  <c r="CY59" i="6"/>
  <c r="CX59" i="6"/>
  <c r="CW59" i="6"/>
  <c r="CY57" i="6"/>
  <c r="CX57" i="6"/>
  <c r="CW57" i="6"/>
  <c r="CY56" i="6"/>
  <c r="CX56" i="6"/>
  <c r="CW56" i="6"/>
  <c r="CY55" i="6"/>
  <c r="CX55" i="6"/>
  <c r="CW55" i="6"/>
  <c r="CY54" i="6"/>
  <c r="CX54" i="6"/>
  <c r="CW54" i="6"/>
  <c r="CY53" i="6"/>
  <c r="CX53" i="6"/>
  <c r="CW53" i="6"/>
  <c r="CY52" i="6"/>
  <c r="CX52" i="6"/>
  <c r="CW52" i="6"/>
  <c r="CY50" i="6"/>
  <c r="CX50" i="6"/>
  <c r="CW50" i="6"/>
  <c r="CY49" i="6"/>
  <c r="CX49" i="6"/>
  <c r="CW49" i="6"/>
  <c r="CY48" i="6"/>
  <c r="CX48" i="6"/>
  <c r="CW48" i="6"/>
  <c r="CY47" i="6"/>
  <c r="CX47" i="6"/>
  <c r="CW47" i="6"/>
  <c r="CY46" i="6"/>
  <c r="CX46" i="6"/>
  <c r="CW46" i="6"/>
  <c r="CY45" i="6"/>
  <c r="CX45" i="6"/>
  <c r="CW45" i="6"/>
  <c r="CY43" i="6"/>
  <c r="CX43" i="6"/>
  <c r="CW43" i="6"/>
  <c r="CY42" i="6"/>
  <c r="CX42" i="6"/>
  <c r="CW42" i="6"/>
  <c r="CY41" i="6"/>
  <c r="CX41" i="6"/>
  <c r="CW41" i="6"/>
  <c r="CY40" i="6"/>
  <c r="CX40" i="6"/>
  <c r="CW40" i="6"/>
  <c r="CY39" i="6"/>
  <c r="CX39" i="6"/>
  <c r="CW39" i="6"/>
  <c r="CY38" i="6"/>
  <c r="CX38" i="6"/>
  <c r="CW38" i="6"/>
  <c r="CY36" i="6"/>
  <c r="CX36" i="6"/>
  <c r="CW36" i="6"/>
  <c r="CY35" i="6"/>
  <c r="CX35" i="6"/>
  <c r="CW35" i="6"/>
  <c r="CY34" i="6"/>
  <c r="CX34" i="6"/>
  <c r="CW34" i="6"/>
  <c r="CY33" i="6"/>
  <c r="CX33" i="6"/>
  <c r="CW33" i="6"/>
  <c r="CY32" i="6"/>
  <c r="CX32" i="6"/>
  <c r="CW32" i="6"/>
  <c r="CY31" i="6"/>
  <c r="CX31" i="6"/>
  <c r="CW31" i="6"/>
  <c r="CY29" i="6"/>
  <c r="CX29" i="6"/>
  <c r="CW29" i="6"/>
  <c r="CY28" i="6"/>
  <c r="CX28" i="6"/>
  <c r="CW28" i="6"/>
  <c r="CY27" i="6"/>
  <c r="CX27" i="6"/>
  <c r="CW27" i="6"/>
  <c r="CY26" i="6"/>
  <c r="CX26" i="6"/>
  <c r="CW26" i="6"/>
  <c r="CY25" i="6"/>
  <c r="CX25" i="6"/>
  <c r="CW25" i="6"/>
  <c r="CY24" i="6"/>
  <c r="CX24" i="6"/>
  <c r="CW24" i="6"/>
  <c r="CY22" i="6"/>
  <c r="CX22" i="6"/>
  <c r="CW22" i="6"/>
  <c r="CY21" i="6"/>
  <c r="CX21" i="6"/>
  <c r="CW21" i="6"/>
  <c r="CY20" i="6"/>
  <c r="CX20" i="6"/>
  <c r="CW20" i="6"/>
  <c r="CY19" i="6"/>
  <c r="CX19" i="6"/>
  <c r="CW19" i="6"/>
  <c r="CY18" i="6"/>
  <c r="CX18" i="6"/>
  <c r="CW18" i="6"/>
  <c r="CY17" i="6"/>
  <c r="CX17" i="6"/>
  <c r="CW17" i="6"/>
  <c r="CY14" i="6"/>
  <c r="CX14" i="6"/>
  <c r="CW14" i="6"/>
  <c r="CX13" i="6"/>
  <c r="CW13" i="6"/>
  <c r="CX12" i="6"/>
  <c r="CW12" i="6"/>
  <c r="CX11" i="6"/>
  <c r="CW11" i="6"/>
  <c r="CX10" i="6"/>
  <c r="CW10" i="6"/>
  <c r="CW99" i="6" l="1"/>
  <c r="CX99" i="6"/>
  <c r="BR71" i="2"/>
  <c r="CM106" i="6"/>
  <c r="CL106" i="6"/>
  <c r="CK106" i="6"/>
  <c r="CM98" i="6"/>
  <c r="CL96" i="6"/>
  <c r="CK96" i="6"/>
  <c r="CL95" i="6"/>
  <c r="CK95" i="6"/>
  <c r="CL94" i="6"/>
  <c r="CK94" i="6"/>
  <c r="CL85" i="6"/>
  <c r="CK85" i="6"/>
  <c r="CL15" i="6"/>
  <c r="CK15" i="6"/>
  <c r="CJ15" i="6"/>
  <c r="BF113" i="2"/>
  <c r="BE113" i="2"/>
  <c r="BD113" i="2"/>
  <c r="BF99" i="2"/>
  <c r="BE99" i="2"/>
  <c r="BD99" i="2"/>
  <c r="BC99" i="2"/>
  <c r="BF98" i="2"/>
  <c r="BE98" i="2"/>
  <c r="BD98" i="2"/>
  <c r="BC98" i="2"/>
  <c r="BF97" i="2"/>
  <c r="BE97" i="2"/>
  <c r="BD97" i="2"/>
  <c r="BC97" i="2"/>
  <c r="BF96" i="2"/>
  <c r="BE96" i="2"/>
  <c r="BD96" i="2"/>
  <c r="BC96" i="2"/>
  <c r="BF95" i="2"/>
  <c r="BE95" i="2"/>
  <c r="BD95" i="2"/>
  <c r="BC95" i="2"/>
  <c r="BF94" i="2"/>
  <c r="BE94" i="2"/>
  <c r="BD94" i="2"/>
  <c r="BC94" i="2"/>
  <c r="CM83" i="6"/>
  <c r="CM82" i="6"/>
  <c r="CM81" i="6"/>
  <c r="CM80" i="6"/>
  <c r="DW80" i="6" s="1"/>
  <c r="CM76" i="6"/>
  <c r="DW76" i="6" s="1"/>
  <c r="CM75" i="6"/>
  <c r="DW75" i="6" s="1"/>
  <c r="CM74" i="6"/>
  <c r="DW74" i="6" s="1"/>
  <c r="CM73" i="6"/>
  <c r="DW73" i="6" s="1"/>
  <c r="DW78" i="6" s="1"/>
  <c r="CM13" i="6"/>
  <c r="DW13" i="6" s="1"/>
  <c r="CM12" i="6"/>
  <c r="DW12" i="6" s="1"/>
  <c r="CM11" i="6"/>
  <c r="DW11" i="6" s="1"/>
  <c r="CM10" i="6"/>
  <c r="DW10" i="6" s="1"/>
  <c r="DW83" i="6" l="1"/>
  <c r="DW97" i="6" s="1"/>
  <c r="DW81" i="6"/>
  <c r="DW95" i="6" s="1"/>
  <c r="DW82" i="6"/>
  <c r="DW96" i="6" s="1"/>
  <c r="CL99" i="6"/>
  <c r="DW15" i="6"/>
  <c r="DW94" i="6"/>
  <c r="DW85" i="6"/>
  <c r="CK99" i="6"/>
  <c r="CM85" i="6"/>
  <c r="CY80" i="6"/>
  <c r="CY94" i="6" s="1"/>
  <c r="CY12" i="6"/>
  <c r="CY82" i="6"/>
  <c r="CY96" i="6" s="1"/>
  <c r="CY83" i="6"/>
  <c r="CY97" i="6" s="1"/>
  <c r="CW15" i="6"/>
  <c r="CX15" i="6"/>
  <c r="CX106" i="6"/>
  <c r="CY11" i="6"/>
  <c r="CY81" i="6"/>
  <c r="CY95" i="6" s="1"/>
  <c r="CY13" i="6"/>
  <c r="CM15" i="6"/>
  <c r="CY73" i="6"/>
  <c r="CY74" i="6"/>
  <c r="CX85" i="6"/>
  <c r="CW106" i="6"/>
  <c r="CM96" i="6"/>
  <c r="CY76" i="6"/>
  <c r="CM97" i="6"/>
  <c r="CY106" i="6"/>
  <c r="CM95" i="6"/>
  <c r="CY75" i="6"/>
  <c r="CY10" i="6"/>
  <c r="CM78" i="6"/>
  <c r="CM94" i="6"/>
  <c r="BF141" i="2"/>
  <c r="BF134" i="2"/>
  <c r="BF127" i="2"/>
  <c r="DW99" i="6" l="1"/>
  <c r="CY99" i="6"/>
  <c r="CM99" i="6"/>
  <c r="BF116" i="2"/>
  <c r="BF117" i="2"/>
  <c r="BF118" i="2"/>
  <c r="BF119" i="2"/>
  <c r="BF115" i="2"/>
  <c r="BF85" i="2"/>
  <c r="BF84" i="2"/>
  <c r="BF83" i="2"/>
  <c r="BF82" i="2"/>
  <c r="BF81" i="2"/>
  <c r="BF80" i="2"/>
  <c r="BF77" i="2"/>
  <c r="BF76" i="2"/>
  <c r="BF78" i="2"/>
  <c r="BF75" i="2"/>
  <c r="BF74" i="2"/>
  <c r="BF73" i="2"/>
  <c r="BF120" i="2" l="1"/>
  <c r="BF71" i="2"/>
  <c r="BF70" i="2"/>
  <c r="BF69" i="2"/>
  <c r="BF68" i="2"/>
  <c r="BF67" i="2"/>
  <c r="BF66" i="2"/>
  <c r="BF64" i="2"/>
  <c r="BF62" i="2"/>
  <c r="BF61" i="2"/>
  <c r="BF60" i="2"/>
  <c r="BF59" i="2"/>
  <c r="BF57" i="2"/>
  <c r="BF55" i="2"/>
  <c r="BF54" i="2"/>
  <c r="BF53" i="2"/>
  <c r="BF52" i="2"/>
  <c r="BF50" i="2"/>
  <c r="BF48" i="2"/>
  <c r="BF47" i="2"/>
  <c r="BF46" i="2"/>
  <c r="BF45" i="2"/>
  <c r="BF43" i="2"/>
  <c r="BF41" i="2"/>
  <c r="BF40" i="2"/>
  <c r="BF39" i="2"/>
  <c r="BF38" i="2"/>
  <c r="BF36" i="2"/>
  <c r="BF34" i="2"/>
  <c r="BF33" i="2"/>
  <c r="BF32" i="2"/>
  <c r="BF31" i="2"/>
  <c r="BF22" i="2"/>
  <c r="BF21" i="2"/>
  <c r="BF20" i="2"/>
  <c r="BF19" i="2"/>
  <c r="BF18" i="2"/>
  <c r="BF17" i="2"/>
  <c r="BF27" i="2"/>
  <c r="BF29" i="2" s="1"/>
  <c r="BF26" i="2"/>
  <c r="BF25" i="2"/>
  <c r="BF24" i="2"/>
  <c r="BF15" i="2" l="1"/>
  <c r="BF14" i="2"/>
  <c r="BF13" i="2"/>
  <c r="BF12" i="2"/>
  <c r="BF11" i="2"/>
  <c r="BF10" i="2"/>
  <c r="BE141" i="2" l="1"/>
  <c r="BE136" i="2"/>
  <c r="BE134" i="2"/>
  <c r="BE127" i="2" l="1"/>
  <c r="AZ115" i="2"/>
  <c r="BA115" i="2"/>
  <c r="BB115" i="2"/>
  <c r="BC115" i="2"/>
  <c r="AZ116" i="2"/>
  <c r="BA116" i="2"/>
  <c r="BB116" i="2"/>
  <c r="BC116" i="2"/>
  <c r="BD116" i="2"/>
  <c r="BE116" i="2"/>
  <c r="AZ117" i="2"/>
  <c r="BA117" i="2"/>
  <c r="BB117" i="2"/>
  <c r="BC117" i="2"/>
  <c r="BD117" i="2"/>
  <c r="BE117" i="2"/>
  <c r="AZ118" i="2"/>
  <c r="BA118" i="2"/>
  <c r="BB118" i="2"/>
  <c r="BC118" i="2"/>
  <c r="BD118" i="2"/>
  <c r="BE118" i="2"/>
  <c r="AZ119" i="2"/>
  <c r="BA119" i="2"/>
  <c r="BB119" i="2"/>
  <c r="BC119" i="2"/>
  <c r="BD119" i="2"/>
  <c r="BE119" i="2"/>
  <c r="AZ120" i="2"/>
  <c r="BA120" i="2"/>
  <c r="BB120" i="2"/>
  <c r="BC120" i="2"/>
  <c r="BE115" i="2"/>
  <c r="BE84" i="2"/>
  <c r="BE85" i="2"/>
  <c r="BE83" i="2"/>
  <c r="BE82" i="2"/>
  <c r="BE81" i="2"/>
  <c r="BE80" i="2"/>
  <c r="BE76" i="2"/>
  <c r="BE78" i="2"/>
  <c r="BE77" i="2"/>
  <c r="BE73" i="2"/>
  <c r="BE75" i="2"/>
  <c r="BE74" i="2"/>
  <c r="BE71" i="2"/>
  <c r="BE69" i="2"/>
  <c r="BE68" i="2"/>
  <c r="BE67" i="2"/>
  <c r="BE66" i="2"/>
  <c r="BE64" i="2"/>
  <c r="BE62" i="2"/>
  <c r="BE61" i="2"/>
  <c r="BE60" i="2"/>
  <c r="BE59" i="2"/>
  <c r="BE57" i="2"/>
  <c r="BE55" i="2"/>
  <c r="BE54" i="2"/>
  <c r="BE53" i="2"/>
  <c r="BE52" i="2"/>
  <c r="BE50" i="2"/>
  <c r="BE48" i="2"/>
  <c r="BE47" i="2"/>
  <c r="BE46" i="2"/>
  <c r="BE45" i="2"/>
  <c r="BE43" i="2"/>
  <c r="BE41" i="2"/>
  <c r="BE40" i="2"/>
  <c r="BE39" i="2"/>
  <c r="BE38" i="2"/>
  <c r="BE36" i="2"/>
  <c r="BE34" i="2"/>
  <c r="BE33" i="2"/>
  <c r="BE32" i="2"/>
  <c r="BE31" i="2"/>
  <c r="BE29" i="2"/>
  <c r="BE27" i="2"/>
  <c r="BE26" i="2"/>
  <c r="BE25" i="2"/>
  <c r="BE24" i="2"/>
  <c r="BE22" i="2"/>
  <c r="BE21" i="2"/>
  <c r="BE20" i="2"/>
  <c r="BE19" i="2"/>
  <c r="BE18" i="2"/>
  <c r="BE15" i="2"/>
  <c r="BE14" i="2"/>
  <c r="BE13" i="2"/>
  <c r="BE12" i="2"/>
  <c r="BE11" i="2"/>
  <c r="BE10" i="2"/>
  <c r="BE120" i="2" l="1"/>
  <c r="BD134" i="2"/>
  <c r="BD127" i="2"/>
  <c r="BD141"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36" i="2"/>
  <c r="BD34" i="2"/>
  <c r="BD33" i="2"/>
  <c r="BD32" i="2"/>
  <c r="BD31" i="2"/>
  <c r="BD29" i="2"/>
  <c r="BD28" i="2"/>
  <c r="BD27" i="2"/>
  <c r="BD26" i="2"/>
  <c r="BD25" i="2"/>
  <c r="BD24" i="2"/>
  <c r="BD22" i="2"/>
  <c r="BD21" i="2"/>
  <c r="BD20" i="2"/>
  <c r="BD19" i="2"/>
  <c r="BD18"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D115" i="2" l="1"/>
  <c r="BD120" i="2"/>
  <c r="CJ106" i="6"/>
  <c r="CJ96" i="6"/>
  <c r="CJ95" i="6"/>
  <c r="CJ94" i="6"/>
  <c r="CJ85" i="6"/>
  <c r="CJ99" i="6" l="1"/>
  <c r="CV106" i="6"/>
  <c r="CV103" i="6"/>
  <c r="CV102" i="6"/>
  <c r="CV101" i="6"/>
  <c r="CV84" i="6"/>
  <c r="CV98" i="6" s="1"/>
  <c r="CV83" i="6"/>
  <c r="CV97" i="6" s="1"/>
  <c r="CV82" i="6"/>
  <c r="CV96" i="6" s="1"/>
  <c r="CV81" i="6"/>
  <c r="CV95" i="6" s="1"/>
  <c r="CV80" i="6"/>
  <c r="CV94" i="6" s="1"/>
  <c r="CV78" i="6"/>
  <c r="CV77" i="6"/>
  <c r="CV76" i="6"/>
  <c r="CV75" i="6"/>
  <c r="CV74" i="6"/>
  <c r="CV73" i="6"/>
  <c r="CV71" i="6"/>
  <c r="CV70" i="6"/>
  <c r="CV69" i="6"/>
  <c r="CV68" i="6"/>
  <c r="CV67" i="6"/>
  <c r="CV66" i="6"/>
  <c r="CV64" i="6"/>
  <c r="CV63" i="6"/>
  <c r="CV62" i="6"/>
  <c r="CV61" i="6"/>
  <c r="CV60" i="6"/>
  <c r="CV59" i="6"/>
  <c r="CV57" i="6"/>
  <c r="CV56" i="6"/>
  <c r="CV55" i="6"/>
  <c r="CV54" i="6"/>
  <c r="CV53" i="6"/>
  <c r="CV52" i="6"/>
  <c r="CV50" i="6"/>
  <c r="CV49" i="6"/>
  <c r="CV48" i="6"/>
  <c r="CV47" i="6"/>
  <c r="CV46" i="6"/>
  <c r="CV45" i="6"/>
  <c r="CV43" i="6"/>
  <c r="CV42" i="6"/>
  <c r="CV41" i="6"/>
  <c r="CV40" i="6"/>
  <c r="CV39" i="6"/>
  <c r="CV38" i="6"/>
  <c r="CV36" i="6"/>
  <c r="CV35" i="6"/>
  <c r="CV34" i="6"/>
  <c r="CV33" i="6"/>
  <c r="CV32" i="6"/>
  <c r="CV31" i="6"/>
  <c r="CV29" i="6"/>
  <c r="CV28" i="6"/>
  <c r="CV27" i="6"/>
  <c r="CV26" i="6"/>
  <c r="CV25" i="6"/>
  <c r="CV24" i="6"/>
  <c r="CV22" i="6"/>
  <c r="CV21" i="6"/>
  <c r="CV20" i="6"/>
  <c r="CV19" i="6"/>
  <c r="CV18" i="6"/>
  <c r="CV17" i="6"/>
  <c r="CV15" i="6"/>
  <c r="CV14" i="6"/>
  <c r="CV13" i="6"/>
  <c r="CV12" i="6"/>
  <c r="CV11" i="6"/>
  <c r="CV10" i="6"/>
  <c r="CU103" i="6"/>
  <c r="CU102" i="6"/>
  <c r="CU101" i="6"/>
  <c r="CU84" i="6"/>
  <c r="CU98" i="6" s="1"/>
  <c r="CU83" i="6"/>
  <c r="CU97" i="6" s="1"/>
  <c r="CU82" i="6"/>
  <c r="CU96" i="6" s="1"/>
  <c r="CU81" i="6"/>
  <c r="CU95" i="6" s="1"/>
  <c r="CU80" i="6"/>
  <c r="CU94" i="6" s="1"/>
  <c r="CU77" i="6"/>
  <c r="CU76" i="6"/>
  <c r="CU75" i="6"/>
  <c r="CU74" i="6"/>
  <c r="CU73" i="6"/>
  <c r="CU71" i="6"/>
  <c r="CU70" i="6"/>
  <c r="CU69" i="6"/>
  <c r="CU68" i="6"/>
  <c r="CU67" i="6"/>
  <c r="CU66" i="6"/>
  <c r="CU63" i="6"/>
  <c r="CU62" i="6"/>
  <c r="CU61" i="6"/>
  <c r="CU60" i="6"/>
  <c r="CU59" i="6"/>
  <c r="CU56" i="6"/>
  <c r="CU55" i="6"/>
  <c r="CU54" i="6"/>
  <c r="CU53" i="6"/>
  <c r="CU52" i="6"/>
  <c r="CU49" i="6"/>
  <c r="CU48" i="6"/>
  <c r="CU47" i="6"/>
  <c r="CU46" i="6"/>
  <c r="CU45" i="6"/>
  <c r="CU43" i="6"/>
  <c r="CU42" i="6"/>
  <c r="CU41" i="6"/>
  <c r="CU40" i="6"/>
  <c r="CU39" i="6"/>
  <c r="CU38" i="6"/>
  <c r="CU36" i="6"/>
  <c r="CU35" i="6"/>
  <c r="CU34" i="6"/>
  <c r="CU33" i="6"/>
  <c r="CU32" i="6"/>
  <c r="CU31" i="6"/>
  <c r="CU29" i="6"/>
  <c r="CU28" i="6"/>
  <c r="CU27" i="6"/>
  <c r="CU26" i="6"/>
  <c r="CU25" i="6"/>
  <c r="CU24" i="6"/>
  <c r="CU22" i="6"/>
  <c r="CU21" i="6"/>
  <c r="CU20" i="6"/>
  <c r="CU19" i="6"/>
  <c r="CU18" i="6"/>
  <c r="CU17" i="6"/>
  <c r="CU14" i="6"/>
  <c r="CU13" i="6"/>
  <c r="CU12" i="6"/>
  <c r="CU11" i="6"/>
  <c r="CU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CU99" i="6" l="1"/>
  <c r="CV99" i="6"/>
  <c r="BC127"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95" i="2"/>
  <c r="BB94" i="2"/>
  <c r="BA70" i="2"/>
  <c r="AZ70" i="2"/>
  <c r="BA69" i="2"/>
  <c r="AZ69" i="2"/>
  <c r="BA68" i="2"/>
  <c r="AZ68" i="2"/>
  <c r="BB67" i="2"/>
  <c r="AZ67" i="2"/>
  <c r="BA66" i="2"/>
  <c r="AZ66" i="2"/>
  <c r="BB50" i="2"/>
  <c r="BB43" i="2"/>
  <c r="BB36" i="2"/>
  <c r="BB29" i="2"/>
  <c r="BB15" i="2"/>
  <c r="BB97" i="2" l="1"/>
  <c r="BB99" i="2"/>
  <c r="BB70" i="2"/>
  <c r="BB71" i="2" s="1"/>
  <c r="CI96" i="6" l="1"/>
  <c r="CI95" i="6"/>
  <c r="CI94" i="6"/>
  <c r="CI106" i="6"/>
  <c r="CI99" i="6"/>
  <c r="CI85" i="6"/>
  <c r="CI78" i="6"/>
  <c r="CI57" i="6"/>
  <c r="CI50" i="6"/>
  <c r="CI15" i="6"/>
  <c r="CH15" i="6"/>
  <c r="CH106" i="6"/>
  <c r="CH96" i="6"/>
  <c r="CH95" i="6"/>
  <c r="CH94" i="6"/>
  <c r="CH85" i="6"/>
  <c r="CH78" i="6"/>
  <c r="CH71" i="6"/>
  <c r="CH64" i="6"/>
  <c r="CH57" i="6"/>
  <c r="CH50" i="6"/>
  <c r="CG15" i="6"/>
  <c r="CF15" i="6"/>
  <c r="CE15" i="6"/>
  <c r="CT103" i="6"/>
  <c r="CT102" i="6"/>
  <c r="CT101" i="6"/>
  <c r="CT84" i="6"/>
  <c r="CT98" i="6" s="1"/>
  <c r="CT83" i="6"/>
  <c r="CT97" i="6" s="1"/>
  <c r="CT82" i="6"/>
  <c r="CT96" i="6" s="1"/>
  <c r="CT81" i="6"/>
  <c r="CT95" i="6" s="1"/>
  <c r="CT80" i="6"/>
  <c r="CT94" i="6" s="1"/>
  <c r="CT77" i="6"/>
  <c r="CT76" i="6"/>
  <c r="CT75" i="6"/>
  <c r="CT74" i="6"/>
  <c r="CT73" i="6"/>
  <c r="CT70" i="6"/>
  <c r="CT69" i="6"/>
  <c r="CT68" i="6"/>
  <c r="CT67" i="6"/>
  <c r="CT66" i="6"/>
  <c r="CT63" i="6"/>
  <c r="CT62" i="6"/>
  <c r="CT61" i="6"/>
  <c r="CT60" i="6"/>
  <c r="CT59" i="6"/>
  <c r="CT56" i="6"/>
  <c r="CT55" i="6"/>
  <c r="CT54" i="6"/>
  <c r="CT53" i="6"/>
  <c r="CT52" i="6"/>
  <c r="CT49" i="6"/>
  <c r="CT48" i="6"/>
  <c r="CT47" i="6"/>
  <c r="CT46" i="6"/>
  <c r="CT45" i="6"/>
  <c r="CT43" i="6"/>
  <c r="CT42" i="6"/>
  <c r="CT41" i="6"/>
  <c r="CT40" i="6"/>
  <c r="CT39" i="6"/>
  <c r="CT38" i="6"/>
  <c r="CT36" i="6"/>
  <c r="CT35" i="6"/>
  <c r="CT34" i="6"/>
  <c r="CT33" i="6"/>
  <c r="CT32" i="6"/>
  <c r="CT31" i="6"/>
  <c r="CT29" i="6"/>
  <c r="CT28" i="6"/>
  <c r="CT27" i="6"/>
  <c r="CT26" i="6"/>
  <c r="CT25" i="6"/>
  <c r="CT24" i="6"/>
  <c r="CT22" i="6"/>
  <c r="CT21" i="6"/>
  <c r="CT20" i="6"/>
  <c r="CT19" i="6"/>
  <c r="CT18" i="6"/>
  <c r="CT17" i="6"/>
  <c r="CT14" i="6"/>
  <c r="CT13" i="6"/>
  <c r="CT12" i="6"/>
  <c r="CT11" i="6"/>
  <c r="CT10" i="6"/>
  <c r="BA141" i="2"/>
  <c r="BM141" i="2" s="1"/>
  <c r="AZ141" i="2"/>
  <c r="BL141" i="2" s="1"/>
  <c r="BA134" i="2"/>
  <c r="BM134" i="2" s="1"/>
  <c r="AZ134" i="2"/>
  <c r="BA127" i="2"/>
  <c r="BM127" i="2" s="1"/>
  <c r="BM120" i="2"/>
  <c r="BM119" i="2"/>
  <c r="BM118" i="2"/>
  <c r="BM115" i="2"/>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CS103" i="6"/>
  <c r="CR103" i="6"/>
  <c r="CQ103" i="6"/>
  <c r="CP103" i="6"/>
  <c r="CS102" i="6"/>
  <c r="CR102" i="6"/>
  <c r="CQ102" i="6"/>
  <c r="CP102" i="6"/>
  <c r="CS101" i="6"/>
  <c r="CR101" i="6"/>
  <c r="CQ101" i="6"/>
  <c r="CP101" i="6"/>
  <c r="BQ96" i="6"/>
  <c r="BQ95" i="6"/>
  <c r="BQ94" i="6"/>
  <c r="CS84" i="6"/>
  <c r="CS98" i="6" s="1"/>
  <c r="CR84" i="6"/>
  <c r="CR98" i="6" s="1"/>
  <c r="CQ84" i="6"/>
  <c r="CQ98" i="6" s="1"/>
  <c r="CP84" i="6"/>
  <c r="CP98" i="6" s="1"/>
  <c r="CS83" i="6"/>
  <c r="CS97" i="6" s="1"/>
  <c r="CR83" i="6"/>
  <c r="CR97" i="6" s="1"/>
  <c r="CQ83" i="6"/>
  <c r="CQ97" i="6" s="1"/>
  <c r="CP83" i="6"/>
  <c r="CP97" i="6" s="1"/>
  <c r="CS82" i="6"/>
  <c r="CS96" i="6" s="1"/>
  <c r="CR82" i="6"/>
  <c r="CR96" i="6" s="1"/>
  <c r="CQ82" i="6"/>
  <c r="CQ96" i="6" s="1"/>
  <c r="CP82" i="6"/>
  <c r="CP96" i="6" s="1"/>
  <c r="CQ81" i="6"/>
  <c r="CQ95" i="6" s="1"/>
  <c r="CP81" i="6"/>
  <c r="CP95" i="6" s="1"/>
  <c r="CS80" i="6"/>
  <c r="CS94" i="6" s="1"/>
  <c r="CR80" i="6"/>
  <c r="CR94" i="6" s="1"/>
  <c r="CQ80" i="6"/>
  <c r="CQ94" i="6" s="1"/>
  <c r="CP80" i="6"/>
  <c r="CP94" i="6" s="1"/>
  <c r="CS77" i="6"/>
  <c r="CR77" i="6"/>
  <c r="CQ77" i="6"/>
  <c r="CP77" i="6"/>
  <c r="CS76" i="6"/>
  <c r="CR76" i="6"/>
  <c r="CQ76" i="6"/>
  <c r="CP76" i="6"/>
  <c r="CS75" i="6"/>
  <c r="CR75" i="6"/>
  <c r="CQ75" i="6"/>
  <c r="CP75" i="6"/>
  <c r="CS74" i="6"/>
  <c r="CR74" i="6"/>
  <c r="CQ74" i="6"/>
  <c r="CP74" i="6"/>
  <c r="CS73" i="6"/>
  <c r="CR73" i="6"/>
  <c r="CQ73" i="6"/>
  <c r="CP73" i="6"/>
  <c r="CS70" i="6"/>
  <c r="CR70" i="6"/>
  <c r="CQ70" i="6"/>
  <c r="CP70" i="6"/>
  <c r="CS69" i="6"/>
  <c r="CR69" i="6"/>
  <c r="CQ69" i="6"/>
  <c r="CP69" i="6"/>
  <c r="CS63" i="6"/>
  <c r="CR63" i="6"/>
  <c r="CQ63" i="6"/>
  <c r="CP63" i="6"/>
  <c r="CS62" i="6"/>
  <c r="CR62" i="6"/>
  <c r="CQ62" i="6"/>
  <c r="CP62" i="6"/>
  <c r="CS61" i="6"/>
  <c r="CR61" i="6"/>
  <c r="CQ61" i="6"/>
  <c r="CP61" i="6"/>
  <c r="CS60" i="6"/>
  <c r="CR60" i="6"/>
  <c r="CQ60" i="6"/>
  <c r="CP60" i="6"/>
  <c r="CS59" i="6"/>
  <c r="CR59" i="6"/>
  <c r="CQ59" i="6"/>
  <c r="CP59" i="6"/>
  <c r="CS56" i="6"/>
  <c r="CR56" i="6"/>
  <c r="CQ56" i="6"/>
  <c r="CP56" i="6"/>
  <c r="CS55" i="6"/>
  <c r="CR55" i="6"/>
  <c r="CQ55" i="6"/>
  <c r="CP55" i="6"/>
  <c r="CS54" i="6"/>
  <c r="CR54" i="6"/>
  <c r="CQ54" i="6"/>
  <c r="CP54" i="6"/>
  <c r="CS53" i="6"/>
  <c r="CR53" i="6"/>
  <c r="CQ53" i="6"/>
  <c r="CP53" i="6"/>
  <c r="CS52" i="6"/>
  <c r="CR52" i="6"/>
  <c r="CQ52" i="6"/>
  <c r="CP52" i="6"/>
  <c r="CS49" i="6"/>
  <c r="CR49" i="6"/>
  <c r="CQ49" i="6"/>
  <c r="CP49" i="6"/>
  <c r="CS48" i="6"/>
  <c r="CR48" i="6"/>
  <c r="CQ48" i="6"/>
  <c r="CP48" i="6"/>
  <c r="CS47" i="6"/>
  <c r="CR47" i="6"/>
  <c r="CQ47" i="6"/>
  <c r="CP47" i="6"/>
  <c r="CS46" i="6"/>
  <c r="CR46" i="6"/>
  <c r="CQ46" i="6"/>
  <c r="CP46" i="6"/>
  <c r="CS45" i="6"/>
  <c r="CR45" i="6"/>
  <c r="CQ45" i="6"/>
  <c r="CP45" i="6"/>
  <c r="CS43" i="6"/>
  <c r="CR43" i="6"/>
  <c r="CQ43" i="6"/>
  <c r="CP43" i="6"/>
  <c r="CS42" i="6"/>
  <c r="CR42" i="6"/>
  <c r="CQ42" i="6"/>
  <c r="CP42" i="6"/>
  <c r="CS41" i="6"/>
  <c r="CR41" i="6"/>
  <c r="CQ41" i="6"/>
  <c r="CP41" i="6"/>
  <c r="CS40" i="6"/>
  <c r="CR40" i="6"/>
  <c r="CQ40" i="6"/>
  <c r="CP40" i="6"/>
  <c r="CS39" i="6"/>
  <c r="CR39" i="6"/>
  <c r="CQ39" i="6"/>
  <c r="CP39" i="6"/>
  <c r="CS38" i="6"/>
  <c r="CR38" i="6"/>
  <c r="CQ38" i="6"/>
  <c r="CP38" i="6"/>
  <c r="CS36" i="6"/>
  <c r="CR36" i="6"/>
  <c r="CQ36" i="6"/>
  <c r="CP36" i="6"/>
  <c r="CS35" i="6"/>
  <c r="CR35" i="6"/>
  <c r="CQ35" i="6"/>
  <c r="CP35" i="6"/>
  <c r="CS34" i="6"/>
  <c r="CR34" i="6"/>
  <c r="CQ34" i="6"/>
  <c r="CP34" i="6"/>
  <c r="CS33" i="6"/>
  <c r="CR33" i="6"/>
  <c r="CQ33" i="6"/>
  <c r="CP33" i="6"/>
  <c r="CS32" i="6"/>
  <c r="CR32" i="6"/>
  <c r="CQ32" i="6"/>
  <c r="CP32" i="6"/>
  <c r="CS31" i="6"/>
  <c r="CR31" i="6"/>
  <c r="CQ31" i="6"/>
  <c r="CP31" i="6"/>
  <c r="CS29" i="6"/>
  <c r="CR29" i="6"/>
  <c r="CQ29" i="6"/>
  <c r="CP29" i="6"/>
  <c r="CS28" i="6"/>
  <c r="CR28" i="6"/>
  <c r="CQ28" i="6"/>
  <c r="CP28" i="6"/>
  <c r="CS27" i="6"/>
  <c r="CR27" i="6"/>
  <c r="CQ27" i="6"/>
  <c r="CP27" i="6"/>
  <c r="CS26" i="6"/>
  <c r="CR26" i="6"/>
  <c r="CQ26" i="6"/>
  <c r="CP26" i="6"/>
  <c r="CS25" i="6"/>
  <c r="CR25" i="6"/>
  <c r="CQ25" i="6"/>
  <c r="CP25" i="6"/>
  <c r="CS24" i="6"/>
  <c r="CR24" i="6"/>
  <c r="CQ24" i="6"/>
  <c r="CP24" i="6"/>
  <c r="CS22" i="6"/>
  <c r="CR22" i="6"/>
  <c r="CQ22" i="6"/>
  <c r="CP22" i="6"/>
  <c r="CS21" i="6"/>
  <c r="CR21" i="6"/>
  <c r="CQ21" i="6"/>
  <c r="CP21" i="6"/>
  <c r="CS20" i="6"/>
  <c r="CR20" i="6"/>
  <c r="CQ20" i="6"/>
  <c r="CP20" i="6"/>
  <c r="CS19" i="6"/>
  <c r="CR19" i="6"/>
  <c r="CQ19" i="6"/>
  <c r="CP19" i="6"/>
  <c r="CS18" i="6"/>
  <c r="CR18" i="6"/>
  <c r="CQ18" i="6"/>
  <c r="CP18" i="6"/>
  <c r="CS17" i="6"/>
  <c r="CR17" i="6"/>
  <c r="CQ17" i="6"/>
  <c r="CP17" i="6"/>
  <c r="CS14" i="6"/>
  <c r="CR14" i="6"/>
  <c r="CQ14" i="6"/>
  <c r="CS13" i="6"/>
  <c r="CR13" i="6"/>
  <c r="CQ13" i="6"/>
  <c r="CS12" i="6"/>
  <c r="CR12" i="6"/>
  <c r="CQ12" i="6"/>
  <c r="CS11" i="6"/>
  <c r="CR11" i="6"/>
  <c r="CQ11" i="6"/>
  <c r="CS10" i="6"/>
  <c r="CR10" i="6"/>
  <c r="CQ10" i="6"/>
  <c r="CP14" i="6"/>
  <c r="CP13" i="6"/>
  <c r="CP12" i="6"/>
  <c r="CP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CQ99" i="6" l="1"/>
  <c r="CP99" i="6"/>
  <c r="CT99" i="6"/>
  <c r="BQ99" i="6"/>
  <c r="CH99" i="6"/>
  <c r="CU78" i="6"/>
  <c r="CT57" i="6"/>
  <c r="CT106" i="6"/>
  <c r="CU106" i="6"/>
  <c r="CT64" i="6"/>
  <c r="CT15" i="6"/>
  <c r="CT50" i="6"/>
  <c r="CT71" i="6"/>
  <c r="CU15" i="6"/>
  <c r="CT78" i="6"/>
  <c r="BJ70" i="2"/>
  <c r="BM38" i="2"/>
  <c r="BK68" i="2"/>
  <c r="BJ67" i="2"/>
  <c r="BK69" i="2"/>
  <c r="BI66" i="2"/>
  <c r="BI71" i="2" s="1"/>
  <c r="BJ66" i="2"/>
  <c r="BJ71" i="2" s="1"/>
  <c r="BK71" i="2" l="1"/>
  <c r="CG96" i="6"/>
  <c r="CF96" i="6"/>
  <c r="CE96" i="6"/>
  <c r="CE95" i="6"/>
  <c r="CG94" i="6"/>
  <c r="CF94" i="6"/>
  <c r="CE94" i="6"/>
  <c r="CD96" i="6"/>
  <c r="CD95" i="6"/>
  <c r="CD94" i="6"/>
  <c r="CE85" i="6"/>
  <c r="CG78" i="6"/>
  <c r="CF78" i="6"/>
  <c r="CE78" i="6"/>
  <c r="CG68" i="6"/>
  <c r="DQ68" i="6" s="1"/>
  <c r="CG67" i="6"/>
  <c r="DQ67" i="6" s="1"/>
  <c r="CG66" i="6"/>
  <c r="DQ66" i="6" s="1"/>
  <c r="CF66" i="6"/>
  <c r="DP66" i="6" s="1"/>
  <c r="CF67" i="6"/>
  <c r="DP67" i="6" s="1"/>
  <c r="CF68" i="6"/>
  <c r="DP68" i="6" s="1"/>
  <c r="CE68" i="6"/>
  <c r="DO68" i="6" s="1"/>
  <c r="CE67" i="6"/>
  <c r="DO67" i="6" s="1"/>
  <c r="CE66" i="6"/>
  <c r="CD68" i="6"/>
  <c r="DN68" i="6" s="1"/>
  <c r="CD67" i="6"/>
  <c r="DN67" i="6" s="1"/>
  <c r="CD66" i="6"/>
  <c r="CG64" i="6"/>
  <c r="CF64" i="6"/>
  <c r="CE64" i="6"/>
  <c r="CG57" i="6"/>
  <c r="CF57" i="6"/>
  <c r="CE57" i="6"/>
  <c r="CG50" i="6"/>
  <c r="CF50" i="6"/>
  <c r="CD4" i="6"/>
  <c r="CG106" i="6"/>
  <c r="CG81" i="6"/>
  <c r="DQ81" i="6" s="1"/>
  <c r="AZ99" i="2"/>
  <c r="BL99" i="2" s="1"/>
  <c r="BL118" i="2"/>
  <c r="BL116" i="2"/>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BL115" i="2"/>
  <c r="BL117" i="2"/>
  <c r="BL119" i="2"/>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DO66" i="6" l="1"/>
  <c r="DO71" i="6" s="1"/>
  <c r="DN66" i="6"/>
  <c r="DN71" i="6" s="1"/>
  <c r="CG85" i="6"/>
  <c r="DP71" i="6"/>
  <c r="DQ71" i="6"/>
  <c r="CG95" i="6"/>
  <c r="CG99" i="6" s="1"/>
  <c r="CP50" i="6"/>
  <c r="CS81" i="6"/>
  <c r="CS95" i="6" s="1"/>
  <c r="CS99" i="6" s="1"/>
  <c r="BL120" i="2"/>
  <c r="CG71" i="6"/>
  <c r="CF71" i="6"/>
  <c r="CD71" i="6"/>
  <c r="CF106" i="6"/>
  <c r="CF81" i="6"/>
  <c r="DP81" i="6" s="1"/>
  <c r="DP95" i="6" s="1"/>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DP99" i="6" l="1"/>
  <c r="DP120" i="6" s="1"/>
  <c r="DP85" i="6"/>
  <c r="DQ95" i="6"/>
  <c r="DQ99" i="6" s="1"/>
  <c r="DQ120" i="6" s="1"/>
  <c r="DQ85" i="6"/>
  <c r="CR81" i="6"/>
  <c r="CR95" i="6" s="1"/>
  <c r="CR99" i="6" s="1"/>
  <c r="CF85" i="6"/>
  <c r="CF95" i="6"/>
  <c r="AY120" i="2"/>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CF99" i="6" l="1"/>
  <c r="AY57" i="2"/>
  <c r="CE106" i="6"/>
  <c r="CE99" i="6"/>
  <c r="CE71" i="6"/>
  <c r="CE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CD106" i="6" l="1"/>
  <c r="CD99"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BQ106" i="6"/>
  <c r="DA106" i="6" s="1"/>
  <c r="BQ85" i="6"/>
  <c r="DA85" i="6" s="1"/>
  <c r="BQ78" i="6"/>
  <c r="DA78" i="6" s="1"/>
  <c r="BQ50" i="6"/>
  <c r="DA50" i="6" s="1"/>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BP106" i="6" l="1"/>
  <c r="CZ106" i="6" s="1"/>
  <c r="BP85" i="6"/>
  <c r="CZ85" i="6" s="1"/>
  <c r="BP50" i="6"/>
  <c r="CZ50" i="6" s="1"/>
  <c r="AH15" i="6"/>
  <c r="AT15" i="6" s="1"/>
  <c r="BV15" i="6"/>
  <c r="BW15" i="6"/>
  <c r="BX15" i="6"/>
  <c r="BY15" i="6"/>
  <c r="BZ15" i="6"/>
  <c r="BF15" i="6"/>
  <c r="BG15" i="6"/>
  <c r="T29" i="6"/>
  <c r="U29" i="6"/>
  <c r="V29" i="6"/>
  <c r="W29" i="6"/>
  <c r="AH29" i="6"/>
  <c r="AI29" i="6"/>
  <c r="AJ29" i="6"/>
  <c r="AK29" i="6"/>
  <c r="AH36" i="6"/>
  <c r="AI36" i="6"/>
  <c r="AJ36" i="6"/>
  <c r="AK36" i="6"/>
  <c r="AH43" i="6"/>
  <c r="AI43" i="6"/>
  <c r="AJ43" i="6"/>
  <c r="AK43" i="6"/>
  <c r="BG50" i="6"/>
  <c r="CQ50" i="6" s="1"/>
  <c r="AH57" i="6"/>
  <c r="AI57" i="6"/>
  <c r="AJ57" i="6"/>
  <c r="AK57" i="6"/>
  <c r="AL57" i="6"/>
  <c r="AM57" i="6"/>
  <c r="AN57" i="6"/>
  <c r="AO57" i="6"/>
  <c r="AP57" i="6"/>
  <c r="AQ57" i="6"/>
  <c r="AS57" i="6"/>
  <c r="BF57" i="6"/>
  <c r="CP57" i="6" s="1"/>
  <c r="BG57" i="6"/>
  <c r="CQ57" i="6" s="1"/>
  <c r="AH64" i="6"/>
  <c r="BF64" i="6"/>
  <c r="CP64" i="6" s="1"/>
  <c r="BG64" i="6"/>
  <c r="CQ64" i="6" s="1"/>
  <c r="AM66" i="6"/>
  <c r="AY66" i="6" s="1"/>
  <c r="BF66" i="6"/>
  <c r="BG66" i="6"/>
  <c r="AM67" i="6"/>
  <c r="AY67" i="6" s="1"/>
  <c r="BF67" i="6"/>
  <c r="BG67" i="6"/>
  <c r="AM68" i="6"/>
  <c r="AY68" i="6" s="1"/>
  <c r="BF68" i="6"/>
  <c r="BG68" i="6"/>
  <c r="AH71" i="6"/>
  <c r="CP78" i="6"/>
  <c r="BG78" i="6"/>
  <c r="CQ78" i="6" s="1"/>
  <c r="BF85" i="6"/>
  <c r="CP85" i="6" s="1"/>
  <c r="BG85" i="6"/>
  <c r="CQ85" i="6" s="1"/>
  <c r="T106" i="6"/>
  <c r="U106" i="6"/>
  <c r="V106" i="6"/>
  <c r="W106" i="6"/>
  <c r="BF106" i="6"/>
  <c r="CP106" i="6" s="1"/>
  <c r="BG106" i="6"/>
  <c r="CQ106" i="6" s="1"/>
  <c r="BW67" i="6" l="1"/>
  <c r="BW68" i="6"/>
  <c r="AY71" i="6"/>
  <c r="AM71" i="6"/>
  <c r="BW66" i="6"/>
  <c r="BW71" i="6" s="1"/>
  <c r="CQ66" i="6"/>
  <c r="BS66" i="6"/>
  <c r="CQ68" i="6"/>
  <c r="BS68" i="6"/>
  <c r="CP68" i="6"/>
  <c r="BR68" i="6"/>
  <c r="CQ15" i="6"/>
  <c r="BS15" i="6"/>
  <c r="CP66" i="6"/>
  <c r="BR66" i="6"/>
  <c r="CP67" i="6"/>
  <c r="BR67" i="6"/>
  <c r="CP15" i="6"/>
  <c r="BR15" i="6"/>
  <c r="CQ67" i="6"/>
  <c r="BS67" i="6"/>
  <c r="BF71" i="6"/>
  <c r="CP71" i="6" s="1"/>
  <c r="BG71" i="6"/>
  <c r="CQ71" i="6" s="1"/>
  <c r="AU141" i="2"/>
  <c r="AU136" i="2"/>
  <c r="AU134" i="2"/>
  <c r="AU123" i="2"/>
  <c r="AU127" i="2" s="1"/>
  <c r="AU118" i="2"/>
  <c r="AU98" i="2"/>
  <c r="AU119" i="2" s="1"/>
  <c r="AU97" i="2"/>
  <c r="AU96" i="2"/>
  <c r="AU117" i="2" s="1"/>
  <c r="AU95" i="2"/>
  <c r="AU116" i="2" s="1"/>
  <c r="AU94" i="2"/>
  <c r="AU99" i="2" s="1"/>
  <c r="AU120" i="2" s="1"/>
  <c r="AU84" i="2"/>
  <c r="BS71" i="6" l="1"/>
  <c r="AU115" i="2"/>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BH85" i="6"/>
  <c r="CR85" i="6" s="1"/>
  <c r="BI85" i="6"/>
  <c r="CS85" i="6" s="1"/>
  <c r="BJ85" i="6"/>
  <c r="CT85" i="6" s="1"/>
  <c r="BK85" i="6"/>
  <c r="CU85" i="6" s="1"/>
  <c r="BL85" i="6"/>
  <c r="CV85" i="6" s="1"/>
  <c r="BM85" i="6"/>
  <c r="CW85" i="6" s="1"/>
  <c r="BO85" i="6" l="1"/>
  <c r="CY85" i="6" s="1"/>
  <c r="BO78" i="6"/>
  <c r="CY78" i="6" s="1"/>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BO64" i="6"/>
  <c r="CY64" i="6" s="1"/>
  <c r="BO15" i="6"/>
  <c r="CY15" i="6" l="1"/>
  <c r="CA15" i="6"/>
  <c r="AS64" i="2"/>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BK64" i="6"/>
  <c r="CU64" i="6" s="1"/>
  <c r="BK57" i="6"/>
  <c r="CU57" i="6" s="1"/>
  <c r="BK50" i="6"/>
  <c r="CU50" i="6" s="1"/>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BI106" i="6"/>
  <c r="CS106" i="6" s="1"/>
  <c r="BI78" i="6"/>
  <c r="CS78" i="6" s="1"/>
  <c r="BH78" i="6"/>
  <c r="CR78" i="6" s="1"/>
  <c r="BI67" i="6"/>
  <c r="BI68" i="6"/>
  <c r="BI66" i="6"/>
  <c r="BI64" i="6"/>
  <c r="CS64" i="6" s="1"/>
  <c r="BI57" i="6"/>
  <c r="CS57" i="6" s="1"/>
  <c r="BI50" i="6"/>
  <c r="CS50" i="6" s="1"/>
  <c r="BI15" i="6"/>
  <c r="CS66" i="6" l="1"/>
  <c r="BU66" i="6"/>
  <c r="CS67" i="6"/>
  <c r="BU67" i="6"/>
  <c r="CS15" i="6"/>
  <c r="BU15" i="6"/>
  <c r="CS68" i="6"/>
  <c r="BU68" i="6"/>
  <c r="BI71" i="6"/>
  <c r="CS71" i="6" s="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BU71" i="6" l="1"/>
  <c r="AN36" i="2"/>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BH106" i="6" l="1"/>
  <c r="CR106" i="6" s="1"/>
  <c r="BH67" i="6"/>
  <c r="BH68" i="6"/>
  <c r="BH66" i="6"/>
  <c r="BH64" i="6"/>
  <c r="CR64" i="6" s="1"/>
  <c r="BH57" i="6"/>
  <c r="CR57" i="6" s="1"/>
  <c r="BH50" i="6"/>
  <c r="CR50" i="6" s="1"/>
  <c r="BH15" i="6"/>
  <c r="CR66" i="6" l="1"/>
  <c r="BT66" i="6"/>
  <c r="CR68" i="6"/>
  <c r="BT68" i="6"/>
  <c r="CR67" i="6"/>
  <c r="BT67" i="6"/>
  <c r="CR15" i="6"/>
  <c r="BT15" i="6"/>
  <c r="BH71" i="6"/>
  <c r="CR71" i="6" s="1"/>
  <c r="AM18" i="2"/>
  <c r="AM17" i="2"/>
  <c r="AM60" i="2"/>
  <c r="AM59" i="2"/>
  <c r="AM39" i="2"/>
  <c r="AM38" i="2"/>
  <c r="AM53" i="2"/>
  <c r="AM52" i="2"/>
  <c r="AM32" i="2"/>
  <c r="AM31" i="2"/>
  <c r="AM46" i="2"/>
  <c r="AM45" i="2"/>
  <c r="AM26" i="2"/>
  <c r="AM24" i="2"/>
  <c r="AM25" i="2"/>
  <c r="BT71" i="6" l="1"/>
  <c r="AM22" i="2"/>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M29" i="6"/>
  <c r="N29" i="6"/>
  <c r="O29" i="6"/>
  <c r="P29" i="6"/>
  <c r="Q29" i="6"/>
  <c r="R29" i="6"/>
  <c r="S29" i="6"/>
  <c r="BR57" i="6"/>
  <c r="BR64" i="6"/>
  <c r="BR71" i="6"/>
  <c r="B106" i="6"/>
  <c r="C106" i="6"/>
  <c r="D106" i="6"/>
  <c r="E106" i="6"/>
  <c r="F106" i="6"/>
  <c r="G106" i="6"/>
  <c r="H106" i="6"/>
  <c r="I106" i="6"/>
  <c r="J106" i="6"/>
  <c r="K106" i="6"/>
  <c r="L106" i="6"/>
  <c r="M106" i="6"/>
  <c r="N106" i="6"/>
  <c r="O106" i="6"/>
  <c r="P106" i="6"/>
  <c r="Q106" i="6"/>
  <c r="R106" i="6"/>
  <c r="S106" i="6"/>
  <c r="BR106" i="6"/>
  <c r="CC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sharedStrings.xml><?xml version="1.0" encoding="utf-8"?>
<sst xmlns="http://schemas.openxmlformats.org/spreadsheetml/2006/main" count="525" uniqueCount="69">
  <si>
    <t>Company</t>
  </si>
  <si>
    <t>Contact Information</t>
  </si>
  <si>
    <t>Date:</t>
  </si>
  <si>
    <t>Aug</t>
  </si>
  <si>
    <t>Oct</t>
  </si>
  <si>
    <t>Nov</t>
  </si>
  <si>
    <t>Dec</t>
  </si>
  <si>
    <t>Jan</t>
  </si>
  <si>
    <t>Feb</t>
  </si>
  <si>
    <t>Mar</t>
  </si>
  <si>
    <t>Apr</t>
  </si>
  <si>
    <t>Jun</t>
  </si>
  <si>
    <t>Jul</t>
  </si>
  <si>
    <t>Sep</t>
  </si>
  <si>
    <t># of Customers</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</si>
  <si>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</si>
  <si>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</si>
  <si>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</si>
  <si>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</si>
  <si>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</si>
  <si>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</si>
  <si>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</si>
  <si>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</si>
  <si>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</si>
  <si>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</si>
  <si>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</si>
  <si>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</si>
  <si>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</si>
  <si>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</si>
  <si>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</si>
  <si>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</si>
  <si>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</si>
  <si>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</si>
  <si>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</si>
  <si>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</si>
  <si>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</si>
  <si>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</si>
  <si>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</si>
  <si>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</si>
  <si>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</si>
  <si>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</si>
  <si>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</si>
  <si>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</si>
  <si>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</si>
  <si>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</si>
  <si>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</si>
  <si>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</si>
  <si>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</si>
  <si>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</si>
  <si>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</si>
  <si>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</si>
  <si>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</si>
  <si>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</si>
  <si>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June</t>
  </si>
  <si>
    <t>August</t>
  </si>
  <si>
    <t>September</t>
  </si>
  <si>
    <t>October</t>
  </si>
  <si>
    <t>November</t>
  </si>
  <si>
    <t>December</t>
  </si>
  <si>
    <t>January</t>
  </si>
  <si>
    <t>February</t>
  </si>
  <si>
    <t>2023 to 2022 Variances</t>
  </si>
  <si>
    <t xml:space="preserve">In October 2023, Blackstone transitioned to the Company's SAP system. Please note that Company is no longer able to provide the $ and # of Payments Received by customer class. </t>
  </si>
  <si>
    <t xml:space="preserve">Additionally, arrearage balances did not transfer to SAP. Arrearages will begin accruing again in November 2023. </t>
  </si>
  <si>
    <t>1/19/2024</t>
  </si>
  <si>
    <t>2021 to 2022 Variance</t>
  </si>
  <si>
    <t>2019 to 2020 Variance</t>
  </si>
  <si>
    <t>2024 to 2023 Variances</t>
  </si>
  <si>
    <t>12/18/2024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</si>
</sst>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_(* #,##0_);_(* \(#,##0\);_(* &quot;-&quot;??_);_(@_)"/>
    <numFmt numFmtId="169" formatCode="_(&quot;$&quot;* #,##0_);_(&quot;$&quot;* \(#,##0\);_(&quot;$&quot;*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ck">
        <color indexed="64"/>
      </left>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ck">
        <color indexed="64"/>
      </right>
      <top/>
      <bottom/>
      <diagonal/>
    </border>
    <border>
      <left style="thick">
        <color indexed="64"/>
      </left>
      <right/>
      <top style="dotted">
        <color indexed="64"/>
      </top>
      <bottom style="medium">
        <color indexed="64"/>
      </bottom>
      <diagonal/>
    </border>
    <border>
      <left style="thick">
        <color indexed="64"/>
      </left>
      <right/>
      <top/>
      <bottom/>
      <diagonal/>
    </border>
    <border>
      <left/>
      <right/>
      <top style="thick">
        <color auto="1"/>
      </top>
      <bottom style="thin">
        <color indexed="64"/>
      </bottom>
      <diagonal/>
    </border>
    <border>
      <left/>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248">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4" fillId="0" borderId="0" xfId="0" applyFont="1" applyFill="1" applyBorder="1"/>
    <xf numFmtId="0" fontId="2" fillId="0" borderId="0" xfId="0" applyFont="1" applyFill="1" applyBorder="1"/>
    <xf numFmtId="0" fontId="4" fillId="0" borderId="13" xfId="0" applyFont="1" applyBorder="1" applyAlignment="1">
      <alignment horizontal="left" indent="2"/>
    </xf>
    <xf numFmtId="0" fontId="4" fillId="0" borderId="1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10" xfId="0" applyFont="1" applyBorder="1"/>
    <xf numFmtId="0" fontId="2" fillId="0" borderId="13" xfId="0" applyFont="1" applyBorder="1"/>
    <xf numFmtId="0" fontId="2" fillId="0" borderId="11" xfId="0" applyFont="1" applyBorder="1"/>
    <xf numFmtId="0" fontId="2" fillId="0" borderId="12" xfId="0" applyFont="1" applyBorder="1"/>
    <xf numFmtId="0" fontId="4" fillId="0" borderId="0" xfId="0" applyFont="1" applyFill="1" applyBorder="1" applyAlignment="1">
      <alignment horizontal="center" vertical="center"/>
    </xf>
    <xf numFmtId="6" fontId="4" fillId="0" borderId="0" xfId="0" applyNumberFormat="1"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2" borderId="2" xfId="0" applyFill="1" applyBorder="1"/>
    <xf numFmtId="0" fontId="0" fillId="2" borderId="3" xfId="0" applyFill="1" applyBorder="1"/>
    <xf numFmtId="0" fontId="0" fillId="2" borderId="0" xfId="0" applyFill="1"/>
    <xf numFmtId="0" fontId="4" fillId="0" borderId="0" xfId="0" applyFont="1" applyAlignment="1">
      <alignment horizontal="left" vertical="center"/>
    </xf>
    <xf numFmtId="0" fontId="0" fillId="0" borderId="0" xfId="0" applyAlignment="1">
      <alignment horizontal="left"/>
    </xf>
    <xf numFmtId="38" fontId="0" fillId="0" borderId="0" xfId="0" applyNumberFormat="1" applyAlignment="1">
      <alignment horizontal="center"/>
    </xf>
    <xf numFmtId="38" fontId="4" fillId="0" borderId="0" xfId="0" applyNumberFormat="1" applyFont="1" applyAlignment="1">
      <alignment horizontal="center"/>
    </xf>
    <xf numFmtId="167" fontId="0" fillId="0" borderId="0" xfId="0" applyNumberFormat="1"/>
    <xf numFmtId="0" fontId="4" fillId="0" borderId="0" xfId="0" applyFont="1" applyAlignment="1">
      <alignment horizontal="center" vertical="center"/>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0" fontId="0" fillId="0" borderId="0" xfId="0" applyFont="1" applyFill="1" applyBorder="1" applyAlignment="1">
      <alignment horizontal="center"/>
    </xf>
    <xf numFmtId="0" fontId="0" fillId="0" borderId="0" xfId="0" applyFont="1" applyFill="1" applyBorder="1"/>
    <xf numFmtId="38" fontId="4" fillId="0" borderId="0" xfId="0" applyNumberFormat="1" applyFont="1" applyFill="1" applyBorder="1" applyAlignment="1">
      <alignment horizontal="center"/>
    </xf>
    <xf numFmtId="167" fontId="4" fillId="0" borderId="0" xfId="1" applyNumberFormat="1" applyFont="1" applyFill="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6" xfId="0" applyFont="1" applyFill="1" applyBorder="1" applyAlignment="1" applyProtection="1">
      <alignment horizontal="centerContinuous"/>
    </xf>
    <xf numFmtId="0" fontId="5" fillId="0" borderId="7" xfId="0" applyFont="1" applyFill="1" applyBorder="1" applyAlignment="1" applyProtection="1">
      <alignment horizontal="centerContinuous"/>
    </xf>
    <xf numFmtId="0" fontId="5" fillId="0" borderId="18" xfId="0" applyFont="1" applyFill="1" applyBorder="1" applyAlignment="1" applyProtection="1">
      <alignment horizontal="centerContinuous"/>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5" xfId="0" applyFont="1" applyFill="1" applyBorder="1"/>
    <xf numFmtId="0" fontId="7" fillId="0" borderId="26"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22" xfId="0" applyNumberFormat="1" applyFont="1" applyFill="1" applyBorder="1" applyAlignment="1">
      <alignment horizontal="center"/>
    </xf>
    <xf numFmtId="6" fontId="4" fillId="0" borderId="22" xfId="0" applyNumberFormat="1" applyFont="1" applyFill="1" applyBorder="1" applyAlignment="1">
      <alignment horizontal="center"/>
    </xf>
    <xf numFmtId="0" fontId="4" fillId="0" borderId="22" xfId="0" applyFont="1" applyFill="1" applyBorder="1" applyAlignment="1">
      <alignment horizontal="center"/>
    </xf>
    <xf numFmtId="38" fontId="0" fillId="0" borderId="22" xfId="0" applyNumberFormat="1" applyFont="1" applyFill="1" applyBorder="1" applyAlignment="1">
      <alignment horizontal="center"/>
    </xf>
    <xf numFmtId="0" fontId="0" fillId="0" borderId="22" xfId="0" applyFont="1" applyFill="1" applyBorder="1" applyAlignment="1">
      <alignment horizontal="center"/>
    </xf>
    <xf numFmtId="0" fontId="0" fillId="0" borderId="14"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2" fillId="0" borderId="29" xfId="0" applyFont="1" applyFill="1" applyBorder="1"/>
    <xf numFmtId="0" fontId="0" fillId="0" borderId="27" xfId="0" applyFont="1" applyFill="1" applyBorder="1"/>
    <xf numFmtId="0" fontId="0" fillId="0" borderId="20" xfId="0" applyFont="1" applyFill="1" applyBorder="1"/>
    <xf numFmtId="0" fontId="4" fillId="0" borderId="30" xfId="0" applyFont="1" applyFill="1" applyBorder="1" applyAlignment="1">
      <alignment horizontal="left" indent="2"/>
    </xf>
    <xf numFmtId="0" fontId="0" fillId="0" borderId="22" xfId="0" applyFont="1" applyFill="1" applyBorder="1"/>
    <xf numFmtId="0" fontId="4" fillId="0" borderId="31" xfId="0" applyFont="1" applyFill="1" applyBorder="1" applyAlignment="1">
      <alignment horizontal="left" indent="2"/>
    </xf>
    <xf numFmtId="38" fontId="4" fillId="0" borderId="32" xfId="0" applyNumberFormat="1" applyFont="1" applyFill="1" applyBorder="1" applyAlignment="1">
      <alignment horizontal="center"/>
    </xf>
    <xf numFmtId="168" fontId="0" fillId="0" borderId="0" xfId="2" applyNumberFormat="1" applyFont="1" applyFill="1" applyBorder="1"/>
    <xf numFmtId="168" fontId="4" fillId="0" borderId="0" xfId="2" applyNumberFormat="1" applyFont="1" applyFill="1" applyBorder="1" applyAlignment="1">
      <alignment horizontal="center"/>
    </xf>
    <xf numFmtId="168" fontId="0" fillId="0" borderId="4" xfId="2" applyNumberFormat="1" applyFont="1" applyFill="1" applyBorder="1"/>
    <xf numFmtId="0" fontId="2" fillId="0" borderId="33" xfId="0" applyFont="1" applyFill="1" applyBorder="1"/>
    <xf numFmtId="169" fontId="0" fillId="0" borderId="0" xfId="1" applyNumberFormat="1" applyFont="1" applyFill="1" applyBorder="1"/>
    <xf numFmtId="169" fontId="4" fillId="0" borderId="0" xfId="1" applyNumberFormat="1" applyFont="1" applyFill="1" applyBorder="1" applyAlignment="1">
      <alignment horizontal="center"/>
    </xf>
    <xf numFmtId="169" fontId="0" fillId="0" borderId="22"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34" xfId="0" applyFont="1" applyFill="1" applyBorder="1"/>
    <xf numFmtId="0" fontId="2" fillId="0" borderId="35" xfId="0" applyFont="1" applyFill="1" applyBorder="1"/>
    <xf numFmtId="6" fontId="4" fillId="0" borderId="27" xfId="0" applyNumberFormat="1" applyFont="1" applyFill="1" applyBorder="1" applyAlignment="1">
      <alignment horizontal="center"/>
    </xf>
    <xf numFmtId="6" fontId="4" fillId="0" borderId="20" xfId="0" applyNumberFormat="1" applyFont="1" applyFill="1" applyBorder="1" applyAlignment="1">
      <alignment horizontal="center"/>
    </xf>
    <xf numFmtId="38" fontId="4" fillId="0" borderId="4" xfId="0" applyNumberFormat="1" applyFont="1" applyFill="1" applyBorder="1" applyAlignment="1">
      <alignment horizontal="center"/>
    </xf>
    <xf numFmtId="168" fontId="4" fillId="0" borderId="4" xfId="2" applyNumberFormat="1" applyFont="1" applyFill="1" applyBorder="1" applyAlignment="1">
      <alignment horizontal="center"/>
    </xf>
    <xf numFmtId="0" fontId="4" fillId="0" borderId="34" xfId="0" applyFont="1" applyFill="1" applyBorder="1" applyAlignment="1">
      <alignment horizontal="left" indent="2"/>
    </xf>
    <xf numFmtId="0" fontId="4" fillId="0" borderId="27" xfId="0" applyFont="1" applyFill="1" applyBorder="1" applyAlignment="1">
      <alignment horizontal="center"/>
    </xf>
    <xf numFmtId="0" fontId="4" fillId="0" borderId="20" xfId="0" applyFont="1" applyFill="1" applyBorder="1" applyAlignment="1">
      <alignment horizontal="center"/>
    </xf>
    <xf numFmtId="0" fontId="4" fillId="0" borderId="33" xfId="0" applyFont="1" applyFill="1" applyBorder="1" applyAlignment="1">
      <alignment horizontal="left" indent="2"/>
    </xf>
    <xf numFmtId="0" fontId="0" fillId="0" borderId="27" xfId="0" applyFont="1" applyFill="1" applyBorder="1" applyAlignment="1">
      <alignment horizontal="center" vertical="center"/>
    </xf>
    <xf numFmtId="0" fontId="4" fillId="0" borderId="39" xfId="0" applyFont="1" applyFill="1" applyBorder="1" applyAlignment="1">
      <alignment horizontal="left" indent="2"/>
    </xf>
    <xf numFmtId="3" fontId="0" fillId="0" borderId="4" xfId="0" applyNumberFormat="1" applyFont="1" applyFill="1" applyBorder="1" applyAlignment="1">
      <alignment horizontal="center"/>
    </xf>
    <xf numFmtId="0" fontId="2" fillId="0" borderId="30" xfId="0" applyFont="1" applyFill="1" applyBorder="1"/>
    <xf numFmtId="0" fontId="2" fillId="0" borderId="40" xfId="0" applyFont="1" applyFill="1" applyBorder="1"/>
    <xf numFmtId="168"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69"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26" xfId="0" applyFont="1" applyFill="1" applyBorder="1" applyAlignment="1" applyProtection="1">
      <alignment horizontal="centerContinuous"/>
    </xf>
    <xf numFmtId="0" fontId="5" fillId="0" borderId="41" xfId="0" applyFont="1" applyFill="1" applyBorder="1" applyAlignment="1" applyProtection="1">
      <alignment horizontal="centerContinuous"/>
    </xf>
    <xf numFmtId="0" fontId="7" fillId="0" borderId="41" xfId="0" applyFont="1" applyFill="1" applyBorder="1" applyAlignment="1" applyProtection="1">
      <alignment horizontal="center" vertical="center"/>
      <protection locked="0"/>
    </xf>
    <xf numFmtId="38" fontId="4" fillId="0" borderId="42" xfId="0" applyNumberFormat="1" applyFont="1" applyFill="1" applyBorder="1" applyAlignment="1">
      <alignment horizontal="center"/>
    </xf>
    <xf numFmtId="38" fontId="4" fillId="0" borderId="22" xfId="0" applyNumberFormat="1" applyFont="1" applyFill="1" applyBorder="1" applyAlignment="1">
      <alignment horizontal="center"/>
    </xf>
    <xf numFmtId="0" fontId="4" fillId="0" borderId="42" xfId="0" applyFont="1" applyFill="1" applyBorder="1" applyAlignment="1">
      <alignment horizontal="center"/>
    </xf>
    <xf numFmtId="6" fontId="4" fillId="0" borderId="42" xfId="0" applyNumberFormat="1" applyFont="1" applyFill="1" applyBorder="1" applyAlignment="1">
      <alignment horizontal="center"/>
    </xf>
    <xf numFmtId="3" fontId="4" fillId="0" borderId="42" xfId="0" applyNumberFormat="1" applyFont="1" applyFill="1" applyBorder="1" applyAlignment="1">
      <alignment horizontal="center"/>
    </xf>
    <xf numFmtId="3" fontId="4" fillId="0" borderId="22" xfId="0" applyNumberFormat="1" applyFont="1" applyFill="1" applyBorder="1" applyAlignment="1">
      <alignment horizontal="center"/>
    </xf>
    <xf numFmtId="165" fontId="4" fillId="0" borderId="42" xfId="0" applyNumberFormat="1" applyFont="1" applyFill="1" applyBorder="1" applyAlignment="1">
      <alignment horizontal="center"/>
    </xf>
    <xf numFmtId="165" fontId="4" fillId="0" borderId="22" xfId="0" applyNumberFormat="1" applyFont="1" applyFill="1" applyBorder="1" applyAlignment="1">
      <alignment horizontal="center"/>
    </xf>
    <xf numFmtId="0" fontId="0" fillId="0" borderId="42" xfId="0" applyFont="1" applyFill="1" applyBorder="1" applyAlignment="1">
      <alignment horizontal="center"/>
    </xf>
    <xf numFmtId="38" fontId="0" fillId="0" borderId="42" xfId="0" applyNumberFormat="1" applyFont="1" applyFill="1" applyBorder="1" applyAlignment="1">
      <alignment horizontal="center"/>
    </xf>
    <xf numFmtId="3" fontId="0" fillId="0" borderId="42" xfId="0" applyNumberFormat="1" applyFont="1" applyFill="1" applyBorder="1" applyAlignment="1">
      <alignment horizontal="center"/>
    </xf>
    <xf numFmtId="3" fontId="0" fillId="0" borderId="39" xfId="0" applyNumberFormat="1" applyFont="1" applyFill="1" applyBorder="1" applyAlignment="1">
      <alignment horizontal="center"/>
    </xf>
    <xf numFmtId="3" fontId="0" fillId="0" borderId="3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35" xfId="0" applyFont="1" applyFill="1" applyBorder="1" applyAlignment="1">
      <alignment horizontal="center"/>
    </xf>
    <xf numFmtId="38" fontId="4" fillId="0" borderId="35"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20" xfId="0" applyNumberFormat="1" applyFont="1" applyFill="1" applyBorder="1" applyAlignment="1">
      <alignment horizontal="center"/>
    </xf>
    <xf numFmtId="38" fontId="4" fillId="0" borderId="39" xfId="0" applyNumberFormat="1" applyFont="1" applyFill="1" applyBorder="1" applyAlignment="1">
      <alignment horizontal="center"/>
    </xf>
    <xf numFmtId="6" fontId="4" fillId="0" borderId="35" xfId="0" applyNumberFormat="1" applyFont="1" applyFill="1" applyBorder="1" applyAlignment="1">
      <alignment horizontal="center"/>
    </xf>
    <xf numFmtId="0" fontId="0" fillId="0" borderId="27" xfId="0" applyFont="1" applyFill="1" applyBorder="1" applyAlignment="1">
      <alignment horizontal="center"/>
    </xf>
    <xf numFmtId="169" fontId="0" fillId="0" borderId="27" xfId="1" applyNumberFormat="1" applyFont="1" applyFill="1" applyBorder="1"/>
    <xf numFmtId="6" fontId="4" fillId="0" borderId="39"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32" xfId="0" applyNumberFormat="1" applyFont="1" applyFill="1" applyBorder="1" applyAlignment="1">
      <alignment horizontal="center"/>
    </xf>
    <xf numFmtId="169" fontId="0" fillId="0" borderId="4" xfId="1" applyNumberFormat="1" applyFont="1" applyFill="1" applyBorder="1"/>
    <xf numFmtId="169"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35" xfId="0" applyFont="1" applyFill="1" applyBorder="1"/>
    <xf numFmtId="168" fontId="0" fillId="0" borderId="42" xfId="2" applyNumberFormat="1" applyFont="1" applyFill="1" applyBorder="1"/>
    <xf numFmtId="168" fontId="0" fillId="0" borderId="39" xfId="2" applyNumberFormat="1" applyFont="1" applyFill="1" applyBorder="1"/>
    <xf numFmtId="168" fontId="4" fillId="0" borderId="42" xfId="2" applyNumberFormat="1" applyFont="1" applyFill="1" applyBorder="1" applyAlignment="1">
      <alignment horizontal="center"/>
    </xf>
    <xf numFmtId="169" fontId="0" fillId="0" borderId="42" xfId="1" applyNumberFormat="1" applyFont="1" applyFill="1" applyBorder="1"/>
    <xf numFmtId="169" fontId="4" fillId="0" borderId="42" xfId="1" applyNumberFormat="1" applyFont="1" applyFill="1" applyBorder="1" applyAlignment="1">
      <alignment horizontal="center"/>
    </xf>
    <xf numFmtId="0" fontId="0" fillId="0" borderId="42" xfId="0" applyFont="1" applyFill="1" applyBorder="1"/>
    <xf numFmtId="169" fontId="0" fillId="0" borderId="39" xfId="1" applyNumberFormat="1" applyFont="1" applyFill="1" applyBorder="1"/>
    <xf numFmtId="168" fontId="4" fillId="0" borderId="39" xfId="2" applyNumberFormat="1" applyFont="1" applyFill="1" applyBorder="1" applyAlignment="1">
      <alignment horizontal="center"/>
    </xf>
    <xf numFmtId="0" fontId="0" fillId="0" borderId="35" xfId="0" applyFont="1" applyFill="1" applyBorder="1" applyAlignment="1">
      <alignment horizontal="center" vertical="center"/>
    </xf>
    <xf numFmtId="0" fontId="0" fillId="0" borderId="42" xfId="0" applyFont="1" applyFill="1" applyBorder="1" applyAlignment="1">
      <alignment horizontal="center" vertical="center"/>
    </xf>
    <xf numFmtId="38" fontId="4" fillId="0" borderId="42" xfId="0" applyNumberFormat="1" applyFont="1" applyFill="1" applyBorder="1" applyAlignment="1">
      <alignment horizontal="center" vertical="center"/>
    </xf>
    <xf numFmtId="0" fontId="0" fillId="0" borderId="39" xfId="0" applyFont="1" applyFill="1" applyBorder="1" applyAlignment="1">
      <alignment horizontal="center"/>
    </xf>
    <xf numFmtId="0" fontId="4" fillId="0" borderId="12" xfId="0" applyFont="1" applyBorder="1" applyAlignment="1">
      <alignment horizontal="left" indent="2"/>
    </xf>
    <xf numFmtId="0" fontId="2" fillId="0" borderId="35" xfId="0" applyFont="1" applyBorder="1"/>
    <xf numFmtId="167" fontId="4" fillId="0" borderId="30" xfId="0" applyNumberFormat="1" applyFont="1" applyBorder="1" applyAlignment="1">
      <alignment horizontal="left" indent="2"/>
    </xf>
    <xf numFmtId="0" fontId="2" fillId="0" borderId="34" xfId="0" applyFont="1" applyBorder="1"/>
    <xf numFmtId="0" fontId="4" fillId="0" borderId="30" xfId="0" applyFont="1" applyBorder="1" applyAlignment="1">
      <alignment horizontal="left" indent="2"/>
    </xf>
    <xf numFmtId="0" fontId="4" fillId="0" borderId="31" xfId="0" applyFont="1" applyBorder="1" applyAlignment="1">
      <alignment horizontal="left" indent="2"/>
    </xf>
    <xf numFmtId="0" fontId="2" fillId="0" borderId="36" xfId="0" applyFont="1" applyBorder="1"/>
    <xf numFmtId="0" fontId="2" fillId="0" borderId="37" xfId="0" applyFont="1" applyBorder="1"/>
    <xf numFmtId="0" fontId="2" fillId="0" borderId="38" xfId="0" applyFont="1" applyBorder="1"/>
    <xf numFmtId="0" fontId="4" fillId="0" borderId="39" xfId="0" applyFont="1" applyBorder="1" applyAlignment="1">
      <alignment horizontal="left" indent="2"/>
    </xf>
    <xf numFmtId="0" fontId="2" fillId="0" borderId="24" xfId="0" applyFont="1" applyBorder="1"/>
    <xf numFmtId="0" fontId="4" fillId="0" borderId="23" xfId="0" applyFont="1" applyBorder="1" applyAlignment="1">
      <alignment horizontal="left" indent="2"/>
    </xf>
    <xf numFmtId="0" fontId="2" fillId="0" borderId="21" xfId="0" applyFont="1" applyBorder="1"/>
    <xf numFmtId="0" fontId="4" fillId="0" borderId="19" xfId="0" applyFont="1" applyBorder="1" applyAlignment="1">
      <alignment horizontal="left" indent="2"/>
    </xf>
    <xf numFmtId="49" fontId="0" fillId="0" borderId="0" xfId="0" applyNumberFormat="1" applyAlignment="1">
      <alignment horizontal="center" vertical="center" wrapText="1"/>
    </xf>
    <xf numFmtId="168" fontId="0" fillId="0" borderId="0" xfId="2" applyNumberFormat="1" applyFont="1"/>
    <xf numFmtId="169" fontId="0" fillId="0" borderId="0" xfId="1" applyNumberFormat="1" applyFont="1"/>
    <xf numFmtId="38" fontId="4" fillId="0" borderId="0" xfId="0" applyNumberFormat="1" applyFont="1" applyFill="1" applyAlignment="1">
      <alignment horizontal="center"/>
    </xf>
    <xf numFmtId="169" fontId="0" fillId="0" borderId="0" xfId="0" applyNumberFormat="1" applyFont="1" applyFill="1" applyBorder="1"/>
    <xf numFmtId="168" fontId="0" fillId="0" borderId="27" xfId="2" applyNumberFormat="1" applyFont="1" applyFill="1" applyBorder="1"/>
    <xf numFmtId="38" fontId="0" fillId="0" borderId="0" xfId="0" applyNumberFormat="1" applyFont="1" applyFill="1" applyBorder="1" applyAlignment="1">
      <alignment horizontal="center" vertical="center"/>
    </xf>
    <xf numFmtId="38"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168" fontId="0" fillId="0" borderId="22" xfId="2" applyNumberFormat="1" applyFont="1" applyFill="1" applyBorder="1"/>
    <xf numFmtId="168" fontId="4" fillId="0" borderId="32" xfId="2" applyNumberFormat="1" applyFont="1" applyFill="1" applyBorder="1" applyAlignment="1">
      <alignment horizontal="center"/>
    </xf>
    <xf numFmtId="168" fontId="0" fillId="0" borderId="32" xfId="2" applyNumberFormat="1" applyFont="1" applyFill="1" applyBorder="1"/>
    <xf numFmtId="169" fontId="0" fillId="0" borderId="20" xfId="1" applyNumberFormat="1" applyFont="1" applyFill="1" applyBorder="1"/>
    <xf numFmtId="0" fontId="2" fillId="2" borderId="2" xfId="0" applyFont="1" applyFill="1" applyBorder="1" applyAlignment="1">
      <alignment horizontal="center" vertical="center"/>
    </xf>
    <xf numFmtId="0" fontId="0" fillId="0" borderId="0" xfId="0" applyAlignment="1">
      <alignment horizontal="center" vertical="top" wrapText="1"/>
    </xf>
    <xf numFmtId="169" fontId="0" fillId="0" borderId="32" xfId="1" applyNumberFormat="1" applyFont="1" applyFill="1" applyBorder="1"/>
    <xf numFmtId="0" fontId="2" fillId="0" borderId="29" xfId="0" applyFont="1" applyBorder="1"/>
    <xf numFmtId="0" fontId="0" fillId="0" borderId="35" xfId="0" applyFont="1" applyFill="1" applyBorder="1" applyAlignment="1">
      <alignment horizontal="center"/>
    </xf>
    <xf numFmtId="167" fontId="0" fillId="0" borderId="42" xfId="0" applyNumberFormat="1" applyFont="1" applyFill="1" applyBorder="1" applyAlignment="1">
      <alignment horizontal="center"/>
    </xf>
    <xf numFmtId="167" fontId="4" fillId="0" borderId="42" xfId="1" applyNumberFormat="1" applyFont="1" applyFill="1" applyBorder="1" applyAlignment="1">
      <alignment horizontal="center"/>
    </xf>
    <xf numFmtId="7" fontId="0" fillId="0" borderId="42" xfId="0" applyNumberFormat="1" applyFill="1" applyBorder="1" applyAlignment="1">
      <alignment horizontal="center"/>
    </xf>
    <xf numFmtId="166" fontId="4" fillId="0" borderId="42" xfId="0" applyNumberFormat="1" applyFont="1" applyFill="1" applyBorder="1" applyAlignment="1">
      <alignment horizontal="center"/>
    </xf>
    <xf numFmtId="167" fontId="4" fillId="0" borderId="42" xfId="1" applyNumberFormat="1" applyFont="1" applyFill="1" applyBorder="1" applyAlignment="1">
      <alignment horizontal="center" vertical="center"/>
    </xf>
    <xf numFmtId="169" fontId="0" fillId="0" borderId="22" xfId="0" applyNumberFormat="1" applyFont="1" applyFill="1" applyBorder="1"/>
    <xf numFmtId="38" fontId="4" fillId="0" borderId="22" xfId="0" applyNumberFormat="1" applyFont="1" applyFill="1" applyBorder="1" applyAlignment="1">
      <alignment horizontal="center" vertical="center"/>
    </xf>
    <xf numFmtId="38" fontId="0" fillId="0" borderId="22" xfId="0" applyNumberFormat="1" applyFont="1" applyFill="1" applyBorder="1" applyAlignment="1">
      <alignment horizontal="center" vertical="center"/>
    </xf>
    <xf numFmtId="0" fontId="0" fillId="0" borderId="32" xfId="0" applyFont="1" applyFill="1" applyBorder="1" applyAlignment="1">
      <alignment horizontal="center"/>
    </xf>
    <xf numFmtId="0" fontId="7" fillId="0" borderId="27" xfId="0" applyFont="1" applyFill="1" applyBorder="1" applyAlignment="1" applyProtection="1">
      <alignment horizontal="center" vertical="center"/>
      <protection locked="0"/>
    </xf>
    <xf numFmtId="15" fontId="4" fillId="0" borderId="0" xfId="0" applyNumberFormat="1" applyFont="1" applyAlignment="1">
      <alignment horizontal="left"/>
    </xf>
    <xf numFmtId="3" fontId="0" fillId="0" borderId="42" xfId="0" applyNumberFormat="1" applyFont="1" applyFill="1" applyBorder="1" applyAlignment="1">
      <alignment horizontal="center" vertical="center"/>
    </xf>
    <xf numFmtId="3" fontId="0" fillId="0" borderId="0" xfId="0" applyNumberFormat="1" applyFont="1" applyFill="1" applyBorder="1" applyAlignment="1">
      <alignment horizontal="center" vertical="center"/>
    </xf>
    <xf numFmtId="3" fontId="4" fillId="0" borderId="42"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0" fillId="0" borderId="0" xfId="0" applyNumberFormat="1" applyAlignment="1">
      <alignment horizontal="center"/>
    </xf>
    <xf numFmtId="3" fontId="0" fillId="0" borderId="0" xfId="0" applyNumberFormat="1" applyFont="1" applyFill="1" applyBorder="1"/>
    <xf numFmtId="3" fontId="4" fillId="0" borderId="4" xfId="0" applyNumberFormat="1" applyFont="1" applyFill="1" applyBorder="1" applyAlignment="1">
      <alignment horizontal="center"/>
    </xf>
    <xf numFmtId="0" fontId="0" fillId="0" borderId="16" xfId="0" applyFont="1" applyFill="1" applyBorder="1" applyAlignment="1">
      <alignment horizontal="center" wrapText="1"/>
    </xf>
    <xf numFmtId="0" fontId="0" fillId="0" borderId="0" xfId="0" applyFont="1" applyFill="1" applyAlignment="1">
      <alignment horizontal="center" wrapText="1"/>
    </xf>
    <xf numFmtId="0" fontId="0" fillId="0" borderId="14"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17" xfId="0" applyFont="1" applyBorder="1" applyAlignment="1" applyProtection="1">
      <alignment horizontal="left"/>
      <protection locked="0"/>
    </xf>
    <xf numFmtId="0" fontId="0" fillId="0" borderId="17"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18" xfId="0" applyFont="1" applyFill="1" applyBorder="1" applyAlignment="1" applyProtection="1">
      <alignment horizontal="center"/>
    </xf>
    <xf numFmtId="0" fontId="5" fillId="0" borderId="25"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5" fillId="0" borderId="18"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151"/>
  <sheetViews>
    <sheetView tabSelected="1" zoomScale="85" zoomScaleNormal="85" workbookViewId="0">
      <pane xSplit="2" ySplit="8" topLeftCell="BU9" activePane="bottomRight" state="frozen"/>
      <selection pane="topRight" activeCell="C1" sqref="C1"/>
      <selection pane="bottomLeft" activeCell="A9" sqref="A9"/>
      <selection pane="bottomRight" activeCell="BU5" sqref="BU5"/>
    </sheetView>
  </sheetViews>
  <sheetFormatPr defaultColWidth="9.28515625" defaultRowHeight="15" x14ac:dyDescent="0.25"/>
  <cols>
    <col min="1" max="1" width="5.7109375" style="47" customWidth="1"/>
    <col min="2" max="2" width="67.42578125" style="47" customWidth="1"/>
    <col min="3" max="3" width="12.7109375" style="47" hidden="1" customWidth="1"/>
    <col min="4" max="4" width="11.7109375" style="47" hidden="1" customWidth="1"/>
    <col min="5" max="12" width="10.7109375" style="47" hidden="1" customWidth="1"/>
    <col min="13" max="15" width="11.7109375" style="47" hidden="1" customWidth="1"/>
    <col min="16" max="23" width="10.7109375" style="47" hidden="1" customWidth="1"/>
    <col min="24" max="24" width="10.7109375" style="76" hidden="1" customWidth="1"/>
    <col min="25" max="25" width="11.7109375" style="47" hidden="1" customWidth="1"/>
    <col min="26" max="26" width="16.5703125" style="47" hidden="1" customWidth="1"/>
    <col min="27" max="28" width="11.7109375" style="47" hidden="1" customWidth="1"/>
    <col min="29" max="29" width="15" style="76" hidden="1" customWidth="1"/>
    <col min="30" max="48" width="21" style="44" hidden="1" customWidth="1"/>
    <col min="49" max="49" width="15.85546875" style="47" hidden="1" customWidth="1"/>
    <col min="50" max="50" width="14.7109375" style="47" hidden="1" customWidth="1"/>
    <col min="51" max="60" width="14.42578125" style="47" hidden="1" customWidth="1"/>
    <col min="61" max="61" width="15.85546875" style="47" hidden="1" customWidth="1"/>
    <col min="62" max="62" width="14.7109375" style="47" hidden="1" customWidth="1"/>
    <col min="63" max="72" width="14.42578125" style="47" hidden="1" customWidth="1"/>
    <col min="73" max="73" width="15.85546875" style="47" customWidth="1"/>
    <col min="74" max="74" width="14.7109375" style="47" customWidth="1"/>
    <col min="75" max="84" width="14.42578125" style="47" customWidth="1"/>
    <col min="85" max="85" width="15.85546875" style="47" bestFit="1" customWidth="1"/>
    <col min="86" max="86" width="14.7109375" style="47" customWidth="1"/>
    <col min="87" max="96" width="14.42578125" style="47" customWidth="1"/>
    <col min="97" max="16384" width="9.28515625" style="47"/>
  </cols>
  <sheetData>
    <row r="1" spans="1:96" s="2" customFormat="1" ht="16.5" thickTop="1" thickBot="1" x14ac:dyDescent="0.3">
      <c r="B1" s="232" t="s">
        <v>18</v>
      </c>
      <c r="C1" s="233"/>
      <c r="D1" s="233"/>
      <c r="E1" s="233"/>
      <c r="F1" s="233"/>
      <c r="G1" s="233"/>
      <c r="H1" s="233"/>
      <c r="I1" s="233"/>
      <c r="J1" s="233"/>
      <c r="K1" s="233"/>
      <c r="L1" s="233"/>
      <c r="M1" s="233"/>
      <c r="N1" s="233"/>
      <c r="O1" s="233"/>
      <c r="P1" s="233"/>
      <c r="Q1" s="233"/>
      <c r="R1" s="233"/>
      <c r="S1" s="233"/>
      <c r="T1" s="233"/>
      <c r="U1" s="233"/>
      <c r="V1" s="233"/>
      <c r="W1" s="233"/>
      <c r="X1" s="21"/>
      <c r="Y1" s="21"/>
      <c r="Z1" s="21"/>
      <c r="AA1" s="21"/>
      <c r="AB1" s="22"/>
      <c r="AE1" s="3"/>
      <c r="AF1" s="3"/>
      <c r="AG1" s="3"/>
      <c r="AH1" s="3"/>
      <c r="AI1" s="3"/>
      <c r="AJ1" s="3"/>
      <c r="AK1" s="3"/>
      <c r="AL1" s="3"/>
      <c r="AM1" s="3"/>
      <c r="AN1" s="3"/>
      <c r="AO1" s="3"/>
      <c r="AP1" s="3"/>
      <c r="AQ1" s="3"/>
      <c r="AR1" s="3"/>
      <c r="AS1" s="3"/>
      <c r="AT1" s="3"/>
      <c r="AU1" s="3"/>
      <c r="AV1" s="3"/>
      <c r="AW1" s="3"/>
      <c r="AX1" s="3"/>
      <c r="AY1" s="3"/>
      <c r="AZ1" s="3"/>
      <c r="BA1" s="3"/>
      <c r="BB1" s="3"/>
      <c r="BC1" s="3"/>
      <c r="BD1" s="3"/>
      <c r="BU1" s="3"/>
      <c r="BV1" s="3"/>
      <c r="BW1" s="3"/>
      <c r="BX1" s="3"/>
      <c r="BY1" s="3"/>
      <c r="BZ1" s="3"/>
      <c r="CA1" s="3"/>
      <c r="CB1" s="3"/>
    </row>
    <row r="2" spans="1:96"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236" t="s">
        <v>45</v>
      </c>
      <c r="AX2" s="237"/>
      <c r="AY2" s="237"/>
      <c r="AZ2" s="237"/>
      <c r="BA2" s="237"/>
      <c r="BB2" s="237"/>
      <c r="BC2" s="237"/>
      <c r="BD2" s="3"/>
      <c r="BU2" s="236" t="s">
        <v>45</v>
      </c>
      <c r="BV2" s="237"/>
      <c r="BW2" s="237"/>
      <c r="BX2" s="237"/>
      <c r="BY2" s="237"/>
      <c r="BZ2" s="237"/>
      <c r="CA2" s="237"/>
      <c r="CB2" s="3"/>
    </row>
    <row r="3" spans="1:96"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236" t="s">
        <v>44</v>
      </c>
      <c r="AX3" s="237"/>
      <c r="AY3" s="237"/>
      <c r="AZ3" s="237"/>
      <c r="BA3" s="237"/>
      <c r="BB3" s="237"/>
      <c r="BC3" s="237"/>
      <c r="BD3" s="3"/>
      <c r="BU3" s="236" t="s">
        <v>44</v>
      </c>
      <c r="BV3" s="237"/>
      <c r="BW3" s="237"/>
      <c r="BX3" s="237"/>
      <c r="BY3" s="237"/>
      <c r="BZ3" s="237"/>
      <c r="CA3" s="237"/>
      <c r="CB3" s="3"/>
    </row>
    <row r="4" spans="1:96"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238" t="s">
        <v>64</v>
      </c>
      <c r="AX4" s="239"/>
      <c r="AY4" s="239"/>
      <c r="AZ4" s="239"/>
      <c r="BA4" s="239"/>
      <c r="BB4" s="239"/>
      <c r="BC4" s="239"/>
      <c r="BD4" s="3"/>
      <c r="BU4" s="238" t="s">
        <v>68</v>
      </c>
      <c r="BV4" s="239"/>
      <c r="BW4" s="239"/>
      <c r="BX4" s="239"/>
      <c r="BY4" s="239"/>
      <c r="BZ4" s="239"/>
      <c r="CA4" s="239"/>
      <c r="CB4" s="3"/>
    </row>
    <row r="5" spans="1:96" ht="7.5" customHeight="1" thickTop="1" x14ac:dyDescent="0.25">
      <c r="B5" s="50"/>
      <c r="C5" s="54"/>
      <c r="D5" s="54"/>
      <c r="E5" s="54"/>
      <c r="F5" s="51"/>
      <c r="G5" s="52"/>
      <c r="H5" s="51"/>
      <c r="I5" s="52"/>
      <c r="J5" s="51"/>
      <c r="K5" s="53"/>
      <c r="L5" s="53"/>
      <c r="M5" s="53"/>
      <c r="N5" s="53"/>
      <c r="O5" s="53"/>
      <c r="P5" s="53"/>
      <c r="Q5" s="53"/>
      <c r="R5" s="53"/>
      <c r="S5" s="53"/>
      <c r="T5" s="53"/>
      <c r="U5" s="53"/>
      <c r="V5" s="53"/>
      <c r="W5" s="53"/>
      <c r="X5" s="51"/>
      <c r="Y5" s="53"/>
      <c r="Z5" s="53"/>
      <c r="AA5" s="53"/>
      <c r="AB5" s="53"/>
      <c r="AC5" s="51"/>
      <c r="AD5" s="51"/>
      <c r="AE5" s="51"/>
      <c r="AF5" s="51"/>
      <c r="AG5" s="51"/>
      <c r="AH5" s="51"/>
      <c r="AI5" s="51"/>
      <c r="AJ5" s="51"/>
      <c r="AK5" s="51"/>
      <c r="AL5" s="51"/>
      <c r="AM5" s="51"/>
      <c r="AN5" s="51"/>
      <c r="AO5" s="51"/>
      <c r="AP5" s="51"/>
      <c r="AQ5" s="51"/>
      <c r="AR5" s="51"/>
      <c r="AS5" s="51"/>
      <c r="AT5" s="51"/>
      <c r="AU5" s="51"/>
      <c r="AV5" s="51"/>
    </row>
    <row r="6" spans="1:96" ht="19.5" customHeight="1" thickBot="1" x14ac:dyDescent="0.3">
      <c r="B6" s="55"/>
      <c r="C6" s="56"/>
      <c r="D6" s="57"/>
      <c r="E6" s="57"/>
      <c r="F6" s="58"/>
      <c r="G6" s="59"/>
      <c r="H6" s="60"/>
      <c r="I6" s="59"/>
      <c r="J6" s="13"/>
      <c r="K6" s="60"/>
      <c r="L6" s="60"/>
      <c r="M6" s="60"/>
      <c r="N6" s="60"/>
      <c r="O6" s="60"/>
      <c r="P6" s="60"/>
      <c r="Q6" s="60"/>
      <c r="R6" s="60"/>
      <c r="S6" s="60"/>
      <c r="T6" s="60"/>
      <c r="U6" s="60"/>
      <c r="V6" s="60"/>
      <c r="W6" s="60"/>
      <c r="X6" s="17"/>
      <c r="Y6" s="60"/>
      <c r="Z6" s="60"/>
      <c r="AA6" s="60"/>
      <c r="AB6" s="60"/>
      <c r="AC6" s="17"/>
      <c r="AD6" s="17"/>
      <c r="AE6" s="17"/>
      <c r="AF6" s="17"/>
      <c r="AG6" s="17"/>
      <c r="AH6" s="17"/>
      <c r="AI6" s="17"/>
      <c r="AJ6" s="17"/>
      <c r="AK6" s="17"/>
      <c r="AL6" s="17"/>
      <c r="AM6" s="17"/>
      <c r="AN6" s="17"/>
      <c r="AO6" s="17"/>
      <c r="AP6" s="17"/>
      <c r="AQ6" s="17"/>
      <c r="AR6" s="17"/>
      <c r="AS6" s="17"/>
      <c r="AT6" s="17"/>
      <c r="AU6" s="17"/>
      <c r="AV6" s="17"/>
    </row>
    <row r="7" spans="1:96" s="48" customFormat="1" ht="19.5" customHeight="1" thickBot="1" x14ac:dyDescent="0.3">
      <c r="B7" s="85"/>
      <c r="C7" s="61">
        <v>2019</v>
      </c>
      <c r="D7" s="62"/>
      <c r="E7" s="62"/>
      <c r="F7" s="62"/>
      <c r="G7" s="62"/>
      <c r="H7" s="62"/>
      <c r="I7" s="62"/>
      <c r="J7" s="62"/>
      <c r="K7" s="62"/>
      <c r="L7" s="133"/>
      <c r="M7" s="148">
        <v>2020</v>
      </c>
      <c r="N7" s="63"/>
      <c r="O7" s="64"/>
      <c r="P7" s="62"/>
      <c r="Q7" s="62"/>
      <c r="R7" s="62"/>
      <c r="S7" s="62"/>
      <c r="T7" s="62"/>
      <c r="U7" s="65"/>
      <c r="V7" s="63"/>
      <c r="W7" s="63"/>
      <c r="X7" s="132"/>
      <c r="Y7" s="241">
        <v>2021</v>
      </c>
      <c r="Z7" s="241"/>
      <c r="AA7" s="241"/>
      <c r="AB7" s="241"/>
      <c r="AC7" s="241"/>
      <c r="AD7" s="241"/>
      <c r="AE7" s="241"/>
      <c r="AF7" s="241"/>
      <c r="AG7" s="241"/>
      <c r="AH7" s="241"/>
      <c r="AI7" s="241"/>
      <c r="AJ7" s="242"/>
      <c r="AK7" s="63">
        <v>2022</v>
      </c>
      <c r="AL7" s="63"/>
      <c r="AM7" s="63"/>
      <c r="AN7" s="63"/>
      <c r="AO7" s="63"/>
      <c r="AP7" s="63"/>
      <c r="AQ7" s="63"/>
      <c r="AR7" s="63"/>
      <c r="AS7" s="63"/>
      <c r="AT7" s="63"/>
      <c r="AU7" s="63"/>
      <c r="AV7" s="63"/>
      <c r="AW7" s="148">
        <v>2023</v>
      </c>
      <c r="AX7" s="63"/>
      <c r="AY7" s="63"/>
      <c r="AZ7" s="63"/>
      <c r="BA7" s="63"/>
      <c r="BB7" s="63"/>
      <c r="BC7" s="63"/>
      <c r="BD7" s="63"/>
      <c r="BE7" s="63"/>
      <c r="BF7" s="63"/>
      <c r="BG7" s="63"/>
      <c r="BH7" s="132"/>
      <c r="BI7" s="148" t="s">
        <v>61</v>
      </c>
      <c r="BJ7" s="63"/>
      <c r="BK7" s="63"/>
      <c r="BL7" s="63"/>
      <c r="BM7" s="63"/>
      <c r="BN7" s="63"/>
      <c r="BO7" s="63"/>
      <c r="BP7" s="63"/>
      <c r="BQ7" s="63"/>
      <c r="BR7" s="63"/>
      <c r="BS7" s="63"/>
      <c r="BT7" s="132"/>
      <c r="BU7" s="148">
        <v>2024</v>
      </c>
      <c r="BV7" s="63"/>
      <c r="BW7" s="63"/>
      <c r="BX7" s="63"/>
      <c r="BY7" s="63"/>
      <c r="BZ7" s="63"/>
      <c r="CA7" s="63"/>
      <c r="CB7" s="63"/>
      <c r="CC7" s="63"/>
      <c r="CD7" s="63"/>
      <c r="CE7" s="63"/>
      <c r="CF7" s="132"/>
      <c r="CG7" s="148" t="s">
        <v>67</v>
      </c>
      <c r="CH7" s="63"/>
      <c r="CI7" s="63"/>
      <c r="CJ7" s="63"/>
      <c r="CK7" s="63"/>
      <c r="CL7" s="63"/>
      <c r="CM7" s="63"/>
      <c r="CN7" s="63"/>
      <c r="CO7" s="63"/>
      <c r="CP7" s="63"/>
      <c r="CQ7" s="63"/>
      <c r="CR7" s="132"/>
    </row>
    <row r="8" spans="1:96" ht="15.75" thickBot="1" x14ac:dyDescent="0.3">
      <c r="B8" s="66"/>
      <c r="C8" s="86" t="s">
        <v>9</v>
      </c>
      <c r="D8" s="87" t="s">
        <v>10</v>
      </c>
      <c r="E8" s="87" t="s">
        <v>15</v>
      </c>
      <c r="F8" s="87" t="s">
        <v>11</v>
      </c>
      <c r="G8" s="87" t="s">
        <v>16</v>
      </c>
      <c r="H8" s="87" t="s">
        <v>3</v>
      </c>
      <c r="I8" s="87" t="s">
        <v>13</v>
      </c>
      <c r="J8" s="87" t="s">
        <v>4</v>
      </c>
      <c r="K8" s="87" t="s">
        <v>5</v>
      </c>
      <c r="L8" s="134" t="s">
        <v>6</v>
      </c>
      <c r="M8" s="86" t="s">
        <v>7</v>
      </c>
      <c r="N8" s="89" t="s">
        <v>8</v>
      </c>
      <c r="O8" s="88" t="s">
        <v>9</v>
      </c>
      <c r="P8" s="87" t="s">
        <v>10</v>
      </c>
      <c r="Q8" s="87" t="s">
        <v>15</v>
      </c>
      <c r="R8" s="87" t="s">
        <v>11</v>
      </c>
      <c r="S8" s="87" t="s">
        <v>12</v>
      </c>
      <c r="T8" s="87" t="s">
        <v>3</v>
      </c>
      <c r="U8" s="90" t="s">
        <v>13</v>
      </c>
      <c r="V8" s="91" t="s">
        <v>4</v>
      </c>
      <c r="W8" s="91" t="s">
        <v>5</v>
      </c>
      <c r="X8" s="67" t="s">
        <v>6</v>
      </c>
      <c r="Y8" s="91" t="s">
        <v>7</v>
      </c>
      <c r="Z8" s="91" t="s">
        <v>8</v>
      </c>
      <c r="AA8" s="91" t="s">
        <v>9</v>
      </c>
      <c r="AB8" s="91" t="s">
        <v>10</v>
      </c>
      <c r="AC8" s="92" t="s">
        <v>15</v>
      </c>
      <c r="AD8" s="92" t="s">
        <v>53</v>
      </c>
      <c r="AE8" s="91" t="s">
        <v>16</v>
      </c>
      <c r="AF8" s="91" t="s">
        <v>54</v>
      </c>
      <c r="AG8" s="91" t="s">
        <v>55</v>
      </c>
      <c r="AH8" s="91" t="s">
        <v>56</v>
      </c>
      <c r="AI8" s="91" t="s">
        <v>57</v>
      </c>
      <c r="AJ8" s="67" t="s">
        <v>58</v>
      </c>
      <c r="AK8" s="91" t="s">
        <v>59</v>
      </c>
      <c r="AL8" s="91" t="s">
        <v>60</v>
      </c>
      <c r="AM8" s="91" t="s">
        <v>49</v>
      </c>
      <c r="AN8" s="91" t="s">
        <v>51</v>
      </c>
      <c r="AO8" s="91" t="s">
        <v>15</v>
      </c>
      <c r="AP8" s="91" t="s">
        <v>53</v>
      </c>
      <c r="AQ8" s="91" t="s">
        <v>16</v>
      </c>
      <c r="AR8" s="91" t="s">
        <v>54</v>
      </c>
      <c r="AS8" s="91" t="s">
        <v>55</v>
      </c>
      <c r="AT8" s="91" t="s">
        <v>56</v>
      </c>
      <c r="AU8" s="91" t="s">
        <v>57</v>
      </c>
      <c r="AV8" s="91" t="s">
        <v>58</v>
      </c>
      <c r="AW8" s="163" t="s">
        <v>59</v>
      </c>
      <c r="AX8" s="91" t="s">
        <v>60</v>
      </c>
      <c r="AY8" s="91" t="s">
        <v>49</v>
      </c>
      <c r="AZ8" s="91" t="s">
        <v>51</v>
      </c>
      <c r="BA8" s="91" t="s">
        <v>15</v>
      </c>
      <c r="BB8" s="91" t="s">
        <v>53</v>
      </c>
      <c r="BC8" s="91" t="s">
        <v>16</v>
      </c>
      <c r="BD8" s="91" t="s">
        <v>54</v>
      </c>
      <c r="BE8" s="91" t="s">
        <v>55</v>
      </c>
      <c r="BF8" s="91" t="s">
        <v>56</v>
      </c>
      <c r="BG8" s="91" t="s">
        <v>57</v>
      </c>
      <c r="BH8" s="67" t="s">
        <v>58</v>
      </c>
      <c r="BI8" s="163" t="s">
        <v>59</v>
      </c>
      <c r="BJ8" s="91" t="s">
        <v>60</v>
      </c>
      <c r="BK8" s="91" t="s">
        <v>49</v>
      </c>
      <c r="BL8" s="91" t="s">
        <v>51</v>
      </c>
      <c r="BM8" s="91" t="s">
        <v>15</v>
      </c>
      <c r="BN8" s="91" t="s">
        <v>53</v>
      </c>
      <c r="BO8" s="91" t="s">
        <v>16</v>
      </c>
      <c r="BP8" s="91" t="s">
        <v>54</v>
      </c>
      <c r="BQ8" s="91" t="s">
        <v>55</v>
      </c>
      <c r="BR8" s="91" t="s">
        <v>56</v>
      </c>
      <c r="BS8" s="91" t="s">
        <v>57</v>
      </c>
      <c r="BT8" s="67" t="s">
        <v>58</v>
      </c>
      <c r="BU8" s="163" t="s">
        <v>59</v>
      </c>
      <c r="BV8" s="91" t="s">
        <v>60</v>
      </c>
      <c r="BW8" s="218" t="s">
        <v>49</v>
      </c>
      <c r="BX8" s="218" t="s">
        <v>51</v>
      </c>
      <c r="BY8" s="91" t="s">
        <v>15</v>
      </c>
      <c r="BZ8" s="91" t="s">
        <v>53</v>
      </c>
      <c r="CA8" s="91" t="s">
        <v>16</v>
      </c>
      <c r="CB8" s="91" t="s">
        <v>54</v>
      </c>
      <c r="CC8" s="91" t="s">
        <v>55</v>
      </c>
      <c r="CD8" s="91" t="s">
        <v>56</v>
      </c>
      <c r="CE8" s="91" t="s">
        <v>57</v>
      </c>
      <c r="CF8" s="67" t="s">
        <v>58</v>
      </c>
      <c r="CG8" s="163" t="s">
        <v>59</v>
      </c>
      <c r="CH8" s="91" t="s">
        <v>60</v>
      </c>
      <c r="CI8" s="91" t="s">
        <v>49</v>
      </c>
      <c r="CJ8" s="91" t="s">
        <v>51</v>
      </c>
      <c r="CK8" s="91" t="s">
        <v>15</v>
      </c>
      <c r="CL8" s="91" t="s">
        <v>53</v>
      </c>
      <c r="CM8" s="91" t="s">
        <v>16</v>
      </c>
      <c r="CN8" s="91" t="s">
        <v>54</v>
      </c>
      <c r="CO8" s="91" t="s">
        <v>55</v>
      </c>
      <c r="CP8" s="91" t="s">
        <v>56</v>
      </c>
      <c r="CQ8" s="91" t="s">
        <v>57</v>
      </c>
      <c r="CR8" s="67" t="s">
        <v>58</v>
      </c>
    </row>
    <row r="9" spans="1:96" x14ac:dyDescent="0.25">
      <c r="A9" s="49">
        <v>1</v>
      </c>
      <c r="B9" s="93" t="s">
        <v>14</v>
      </c>
      <c r="C9" s="150"/>
      <c r="D9" s="151"/>
      <c r="E9" s="151"/>
      <c r="F9" s="151"/>
      <c r="G9" s="151"/>
      <c r="H9" s="151"/>
      <c r="I9" s="151"/>
      <c r="J9" s="151"/>
      <c r="K9" s="151"/>
      <c r="L9" s="152"/>
      <c r="M9" s="150"/>
      <c r="N9" s="151"/>
      <c r="O9" s="151"/>
      <c r="P9" s="151"/>
      <c r="Q9" s="151"/>
      <c r="R9" s="151"/>
      <c r="S9" s="151"/>
      <c r="T9" s="151"/>
      <c r="U9" s="151"/>
      <c r="V9" s="151"/>
      <c r="W9" s="151"/>
      <c r="X9" s="152"/>
      <c r="Y9" s="151"/>
      <c r="Z9" s="151"/>
      <c r="AA9" s="151"/>
      <c r="AB9" s="151"/>
      <c r="AC9" s="151"/>
      <c r="AD9" s="151"/>
      <c r="AE9" s="151"/>
      <c r="AF9" s="151"/>
      <c r="AG9" s="151"/>
      <c r="AH9" s="151"/>
      <c r="AI9" s="151"/>
      <c r="AJ9" s="151"/>
      <c r="AK9" s="150"/>
      <c r="AL9" s="151"/>
      <c r="AM9" s="151"/>
      <c r="AN9" s="151"/>
      <c r="AO9" s="151"/>
      <c r="AP9" s="151"/>
      <c r="AQ9" s="151"/>
      <c r="AR9" s="151"/>
      <c r="AS9" s="151"/>
      <c r="AT9" s="151"/>
      <c r="AU9" s="151"/>
      <c r="AV9" s="151"/>
      <c r="AW9" s="164"/>
      <c r="AX9" s="94"/>
      <c r="AY9" s="94"/>
      <c r="AZ9" s="94"/>
      <c r="BA9" s="94"/>
      <c r="BB9" s="94"/>
      <c r="BC9" s="94"/>
      <c r="BD9" s="94"/>
      <c r="BE9" s="94"/>
      <c r="BF9" s="94"/>
      <c r="BG9" s="94"/>
      <c r="BH9" s="95"/>
      <c r="BI9" s="164"/>
      <c r="BJ9" s="94"/>
      <c r="BK9" s="94"/>
      <c r="BL9" s="94"/>
      <c r="BM9" s="94"/>
      <c r="BN9" s="94"/>
      <c r="BO9" s="94"/>
      <c r="BP9" s="94"/>
      <c r="BQ9" s="94"/>
      <c r="BR9" s="94"/>
      <c r="BS9" s="94"/>
      <c r="BT9" s="95"/>
      <c r="BU9" s="164"/>
      <c r="BV9" s="94"/>
      <c r="BW9" s="94"/>
      <c r="BX9" s="94"/>
      <c r="BY9" s="94"/>
      <c r="BZ9" s="94"/>
      <c r="CA9" s="94"/>
      <c r="CB9" s="94"/>
      <c r="CC9" s="94"/>
      <c r="CD9" s="94"/>
      <c r="CE9" s="94"/>
      <c r="CF9" s="95"/>
      <c r="CG9" s="164"/>
      <c r="CH9" s="94"/>
      <c r="CI9" s="94"/>
      <c r="CJ9" s="94"/>
      <c r="CK9" s="94"/>
      <c r="CL9" s="94"/>
      <c r="CM9" s="94"/>
      <c r="CN9" s="94"/>
      <c r="CO9" s="94"/>
      <c r="CP9" s="94"/>
      <c r="CQ9" s="94"/>
      <c r="CR9" s="95"/>
    </row>
    <row r="10" spans="1:96" x14ac:dyDescent="0.25">
      <c r="A10" s="49"/>
      <c r="B10" s="96" t="s">
        <v>34</v>
      </c>
      <c r="C10" s="135">
        <v>42093</v>
      </c>
      <c r="D10" s="45">
        <v>41417</v>
      </c>
      <c r="E10" s="45">
        <v>41314</v>
      </c>
      <c r="F10" s="45">
        <v>42207</v>
      </c>
      <c r="G10" s="45">
        <v>41967</v>
      </c>
      <c r="H10" s="45">
        <v>41916</v>
      </c>
      <c r="I10" s="45">
        <v>42074</v>
      </c>
      <c r="J10" s="45">
        <v>42016</v>
      </c>
      <c r="K10" s="45">
        <v>42267</v>
      </c>
      <c r="L10" s="136">
        <v>42519</v>
      </c>
      <c r="M10" s="135">
        <v>42421</v>
      </c>
      <c r="N10" s="45">
        <v>42447</v>
      </c>
      <c r="O10" s="45">
        <v>42410</v>
      </c>
      <c r="P10" s="45">
        <f>2381+39694+56+182</f>
        <v>42313</v>
      </c>
      <c r="Q10" s="45">
        <f>2390+39818+56+182</f>
        <v>42446</v>
      </c>
      <c r="R10" s="45">
        <f>2430+41009+56+182</f>
        <v>43677</v>
      </c>
      <c r="S10" s="45">
        <f>2416+40565+56+182</f>
        <v>43219</v>
      </c>
      <c r="T10" s="45">
        <f>2413+40660+56+182</f>
        <v>43311</v>
      </c>
      <c r="U10" s="45">
        <f>2414+40703+56+182</f>
        <v>43355</v>
      </c>
      <c r="V10" s="45">
        <f>2400+40530+56+182</f>
        <v>43168</v>
      </c>
      <c r="W10" s="45">
        <f>2429+40737+238</f>
        <v>43404</v>
      </c>
      <c r="X10" s="136">
        <f>2430+40780+238</f>
        <v>43448</v>
      </c>
      <c r="Y10" s="45">
        <f>2414+40792+238</f>
        <v>43444</v>
      </c>
      <c r="Z10" s="45">
        <f>2401+40712+238</f>
        <v>43351</v>
      </c>
      <c r="AA10" s="45">
        <f>2394+40727+238</f>
        <v>43359</v>
      </c>
      <c r="AB10" s="45">
        <f>2378+40308+56+182</f>
        <v>42924</v>
      </c>
      <c r="AC10" s="45">
        <f>43068+238</f>
        <v>43306</v>
      </c>
      <c r="AD10" s="45">
        <f>2538+42336+238</f>
        <v>45112</v>
      </c>
      <c r="AE10" s="45">
        <f>2460+41163+239</f>
        <v>43862</v>
      </c>
      <c r="AF10" s="45">
        <f>2462+41113+239</f>
        <v>43814</v>
      </c>
      <c r="AG10" s="45">
        <f>2468+41124+239</f>
        <v>43831</v>
      </c>
      <c r="AH10" s="45">
        <f>2464+41059+239</f>
        <v>43762</v>
      </c>
      <c r="AI10" s="45">
        <f>2464+41153+239</f>
        <v>43856</v>
      </c>
      <c r="AJ10" s="45">
        <f>2465+41358+239</f>
        <v>44062</v>
      </c>
      <c r="AK10" s="135">
        <f>2499+41832+239</f>
        <v>44570</v>
      </c>
      <c r="AL10" s="45">
        <f>2452+41134+239</f>
        <v>43825</v>
      </c>
      <c r="AM10" s="45">
        <f>2446+41114+239</f>
        <v>43799</v>
      </c>
      <c r="AN10" s="45">
        <f>2392+40049+239</f>
        <v>42680</v>
      </c>
      <c r="AO10" s="45">
        <f>SUM(2416,40310,239)</f>
        <v>42965</v>
      </c>
      <c r="AP10" s="45">
        <f>SUM(2424,41470,239)</f>
        <v>44133</v>
      </c>
      <c r="AQ10" s="45">
        <f>SUM(2434+40842+239)</f>
        <v>43515</v>
      </c>
      <c r="AR10" s="45">
        <f>2435+40660+239</f>
        <v>43334</v>
      </c>
      <c r="AS10" s="45">
        <f>2424+40642+239</f>
        <v>43305</v>
      </c>
      <c r="AT10" s="45">
        <f>2426+40761+239</f>
        <v>43426</v>
      </c>
      <c r="AU10" s="45">
        <f>2468+41249+239</f>
        <v>43956</v>
      </c>
      <c r="AV10" s="45">
        <f>2463+41214+240</f>
        <v>43917</v>
      </c>
      <c r="AW10" s="165">
        <f>2381+39732+240</f>
        <v>42353</v>
      </c>
      <c r="AX10" s="100">
        <f>2454+40517+240</f>
        <v>43211</v>
      </c>
      <c r="AY10" s="100">
        <f>2389+40447+240</f>
        <v>43076</v>
      </c>
      <c r="AZ10" s="100">
        <f>SUM(2330+39599+240)</f>
        <v>42169</v>
      </c>
      <c r="BA10" s="100">
        <v>42175</v>
      </c>
      <c r="BB10" s="100">
        <v>43341</v>
      </c>
      <c r="BC10" s="100">
        <f>2329+40518+240</f>
        <v>43087</v>
      </c>
      <c r="BD10" s="100">
        <f>(2317+40000+239)</f>
        <v>42556</v>
      </c>
      <c r="BE10" s="100">
        <f>2326+39945+238</f>
        <v>42509</v>
      </c>
      <c r="BF10" s="100">
        <f>2322+40238+238</f>
        <v>42798</v>
      </c>
      <c r="BG10" s="100">
        <f>2288+40349+238</f>
        <v>42875</v>
      </c>
      <c r="BH10" s="100">
        <v>42890</v>
      </c>
      <c r="BI10" s="165">
        <f t="shared" ref="BI10:BI15" si="0">AW10-AK10</f>
        <v>-2217</v>
      </c>
      <c r="BJ10" s="100">
        <f t="shared" ref="BJ10:BJ15" si="1">AX10-AL10</f>
        <v>-614</v>
      </c>
      <c r="BK10" s="100">
        <f t="shared" ref="BK10:BK15" si="2">AY10-AM10</f>
        <v>-723</v>
      </c>
      <c r="BL10" s="100">
        <f t="shared" ref="BL10:BO15" si="3">AZ10-AN10</f>
        <v>-511</v>
      </c>
      <c r="BM10" s="100">
        <f t="shared" si="3"/>
        <v>-790</v>
      </c>
      <c r="BN10" s="100">
        <f t="shared" si="3"/>
        <v>-792</v>
      </c>
      <c r="BO10" s="100">
        <f t="shared" si="3"/>
        <v>-428</v>
      </c>
      <c r="BP10" s="100">
        <f t="shared" ref="BP10:BP15" si="4">BD10-AR10</f>
        <v>-778</v>
      </c>
      <c r="BQ10" s="100">
        <f t="shared" ref="BQ10:BQ15" si="5">BE10-AS10</f>
        <v>-796</v>
      </c>
      <c r="BR10" s="100">
        <f t="shared" ref="BR10:BT15" si="6">BF10-AT10</f>
        <v>-628</v>
      </c>
      <c r="BS10" s="100">
        <f t="shared" si="6"/>
        <v>-1081</v>
      </c>
      <c r="BT10" s="200">
        <f t="shared" si="6"/>
        <v>-1027</v>
      </c>
      <c r="BU10" s="165">
        <f>2285+40253+238</f>
        <v>42776</v>
      </c>
      <c r="BV10" s="100">
        <f>2262+40123+238</f>
        <v>42623</v>
      </c>
      <c r="BW10" s="100">
        <v>42500</v>
      </c>
      <c r="BX10" s="100">
        <v>41829</v>
      </c>
      <c r="BY10" s="100">
        <f>2234+39107+238</f>
        <v>41579</v>
      </c>
      <c r="BZ10" s="100">
        <v>43010</v>
      </c>
      <c r="CA10" s="100">
        <v>43407</v>
      </c>
      <c r="CB10" s="100">
        <v>43439</v>
      </c>
      <c r="CC10" s="100">
        <v>43407</v>
      </c>
      <c r="CD10" s="100">
        <v>43189</v>
      </c>
      <c r="CE10" s="100">
        <v>43124</v>
      </c>
      <c r="CF10" s="200"/>
      <c r="CG10" s="165">
        <f>BU10-BI10</f>
        <v>44993</v>
      </c>
      <c r="CH10" s="100">
        <f t="shared" ref="CH10:CH15" si="7">BV10-BJ10</f>
        <v>43237</v>
      </c>
      <c r="CI10" s="100">
        <f t="shared" ref="CI10:CI15" si="8">BW10-BK10</f>
        <v>43223</v>
      </c>
      <c r="CJ10" s="100">
        <f t="shared" ref="CJ10:CJ15" si="9">BX10-BL10</f>
        <v>42340</v>
      </c>
      <c r="CK10" s="100">
        <f t="shared" ref="CK10:CK15" si="10">BY10-BM10</f>
        <v>42369</v>
      </c>
      <c r="CL10" s="100">
        <f t="shared" ref="CL10:CL15" si="11">BZ10-BN10</f>
        <v>43802</v>
      </c>
      <c r="CM10" s="100">
        <f t="shared" ref="CM10:CM15" si="12">CA10-BO10</f>
        <v>43835</v>
      </c>
      <c r="CN10" s="100">
        <f t="shared" ref="CN10:CN15" si="13">CB10-BP10</f>
        <v>44217</v>
      </c>
      <c r="CO10" s="100">
        <f t="shared" ref="CO10:CO15" si="14">CC10-BQ10</f>
        <v>44203</v>
      </c>
      <c r="CP10" s="100">
        <f t="shared" ref="CP10:CP15" si="15">CD10-BR10</f>
        <v>43817</v>
      </c>
      <c r="CQ10" s="100">
        <f t="shared" ref="CQ10:CQ15" si="16">CE10-BS10</f>
        <v>44205</v>
      </c>
      <c r="CR10" s="200">
        <f t="shared" ref="CR10:CR15" si="17">CF10-BT10</f>
        <v>1027</v>
      </c>
    </row>
    <row r="11" spans="1:96" x14ac:dyDescent="0.25">
      <c r="A11" s="49"/>
      <c r="B11" s="96" t="s">
        <v>35</v>
      </c>
      <c r="C11" s="135">
        <v>10386</v>
      </c>
      <c r="D11" s="45">
        <v>10646</v>
      </c>
      <c r="E11" s="45">
        <v>10604</v>
      </c>
      <c r="F11" s="45">
        <v>9763</v>
      </c>
      <c r="G11" s="45">
        <v>9843</v>
      </c>
      <c r="H11" s="45">
        <v>9767</v>
      </c>
      <c r="I11" s="45">
        <v>9634</v>
      </c>
      <c r="J11" s="45">
        <v>9788</v>
      </c>
      <c r="K11" s="45">
        <v>10029</v>
      </c>
      <c r="L11" s="136">
        <v>10105</v>
      </c>
      <c r="M11" s="135">
        <v>10253</v>
      </c>
      <c r="N11" s="45">
        <v>10308</v>
      </c>
      <c r="O11" s="45">
        <v>10359</v>
      </c>
      <c r="P11" s="45">
        <f>326+10246</f>
        <v>10572</v>
      </c>
      <c r="Q11" s="45">
        <f>326+10188</f>
        <v>10514</v>
      </c>
      <c r="R11" s="45">
        <f>295+9063</f>
        <v>9358</v>
      </c>
      <c r="S11" s="45">
        <f>314+9545</f>
        <v>9859</v>
      </c>
      <c r="T11" s="45">
        <f>322+9544</f>
        <v>9866</v>
      </c>
      <c r="U11" s="45">
        <f>326+9593</f>
        <v>9919</v>
      </c>
      <c r="V11" s="45">
        <f>342+9794</f>
        <v>10136</v>
      </c>
      <c r="W11" s="45">
        <f>317+9657</f>
        <v>9974</v>
      </c>
      <c r="X11" s="136">
        <f>317+9732</f>
        <v>10049</v>
      </c>
      <c r="Y11" s="45">
        <f>323+9775</f>
        <v>10098</v>
      </c>
      <c r="Z11" s="45">
        <f>337+9936</f>
        <v>10273</v>
      </c>
      <c r="AA11" s="45">
        <f>334+9962</f>
        <v>10296</v>
      </c>
      <c r="AB11" s="45">
        <f>343+10397</f>
        <v>10740</v>
      </c>
      <c r="AC11" s="45">
        <v>10716</v>
      </c>
      <c r="AD11" s="45">
        <f>204+8785</f>
        <v>8989</v>
      </c>
      <c r="AE11" s="45">
        <f>284+9909</f>
        <v>10193</v>
      </c>
      <c r="AF11" s="45">
        <f>279+9931</f>
        <v>10210</v>
      </c>
      <c r="AG11" s="45">
        <f>276+9936</f>
        <v>10212</v>
      </c>
      <c r="AH11" s="45">
        <f>266+10035</f>
        <v>10301</v>
      </c>
      <c r="AI11" s="45">
        <f>264+10069</f>
        <v>10333</v>
      </c>
      <c r="AJ11" s="45">
        <f>267+10094</f>
        <v>10361</v>
      </c>
      <c r="AK11" s="135">
        <f>228+9668</f>
        <v>9896</v>
      </c>
      <c r="AL11" s="45">
        <f>269+10338</f>
        <v>10607</v>
      </c>
      <c r="AM11" s="45">
        <f>265+10500</f>
        <v>10765</v>
      </c>
      <c r="AN11" s="45">
        <f>314+11450</f>
        <v>11764</v>
      </c>
      <c r="AO11" s="45">
        <f>SUM(292,11177)</f>
        <v>11469</v>
      </c>
      <c r="AP11" s="45">
        <f>SUM(282,10048)</f>
        <v>10330</v>
      </c>
      <c r="AQ11" s="45">
        <f>SUM(282+10624)</f>
        <v>10906</v>
      </c>
      <c r="AR11" s="45">
        <f>285+10571</f>
        <v>10856</v>
      </c>
      <c r="AS11" s="45">
        <f>283+10555</f>
        <v>10838</v>
      </c>
      <c r="AT11" s="45">
        <f>282+10575</f>
        <v>10857</v>
      </c>
      <c r="AU11" s="45">
        <f>255+10264</f>
        <v>10519</v>
      </c>
      <c r="AV11" s="45">
        <f>262+10415</f>
        <v>10677</v>
      </c>
      <c r="AW11" s="165">
        <f>339+11929</f>
        <v>12268</v>
      </c>
      <c r="AX11" s="100">
        <f>272+11153</f>
        <v>11425</v>
      </c>
      <c r="AY11" s="100">
        <f>330+11323</f>
        <v>11653</v>
      </c>
      <c r="AZ11" s="100">
        <f>SUM(381+11982)</f>
        <v>12363</v>
      </c>
      <c r="BA11" s="100">
        <v>12494</v>
      </c>
      <c r="BB11" s="100">
        <v>11222</v>
      </c>
      <c r="BC11" s="100">
        <f>372+10898</f>
        <v>11270</v>
      </c>
      <c r="BD11" s="100">
        <f>(379+11361)</f>
        <v>11740</v>
      </c>
      <c r="BE11" s="100">
        <f>379+11317</f>
        <v>11696</v>
      </c>
      <c r="BF11" s="100">
        <f>384+11184</f>
        <v>11568</v>
      </c>
      <c r="BG11" s="100">
        <f>395+11348</f>
        <v>11743</v>
      </c>
      <c r="BH11" s="100">
        <v>11760</v>
      </c>
      <c r="BI11" s="165">
        <f t="shared" si="0"/>
        <v>2372</v>
      </c>
      <c r="BJ11" s="100">
        <f t="shared" si="1"/>
        <v>818</v>
      </c>
      <c r="BK11" s="100">
        <f t="shared" si="2"/>
        <v>888</v>
      </c>
      <c r="BL11" s="100">
        <f t="shared" si="3"/>
        <v>599</v>
      </c>
      <c r="BM11" s="100">
        <f t="shared" si="3"/>
        <v>1025</v>
      </c>
      <c r="BN11" s="100">
        <f t="shared" si="3"/>
        <v>892</v>
      </c>
      <c r="BO11" s="100">
        <f t="shared" si="3"/>
        <v>364</v>
      </c>
      <c r="BP11" s="100">
        <f t="shared" si="4"/>
        <v>884</v>
      </c>
      <c r="BQ11" s="100">
        <f t="shared" si="5"/>
        <v>858</v>
      </c>
      <c r="BR11" s="100">
        <f t="shared" si="6"/>
        <v>711</v>
      </c>
      <c r="BS11" s="100">
        <f t="shared" si="6"/>
        <v>1224</v>
      </c>
      <c r="BT11" s="200">
        <f t="shared" si="6"/>
        <v>1083</v>
      </c>
      <c r="BU11" s="165">
        <f>405+11596</f>
        <v>12001</v>
      </c>
      <c r="BV11" s="100">
        <f>411+11653</f>
        <v>12064</v>
      </c>
      <c r="BW11" s="100">
        <v>12250</v>
      </c>
      <c r="BX11" s="100">
        <v>13020</v>
      </c>
      <c r="BY11" s="100">
        <f>447+12712</f>
        <v>13159</v>
      </c>
      <c r="BZ11" s="100">
        <v>11377</v>
      </c>
      <c r="CA11" s="100">
        <v>10862</v>
      </c>
      <c r="CB11" s="100">
        <v>10759</v>
      </c>
      <c r="CC11" s="100">
        <v>10739</v>
      </c>
      <c r="CD11" s="100">
        <v>11042</v>
      </c>
      <c r="CE11" s="100">
        <v>11207</v>
      </c>
      <c r="CF11" s="200"/>
      <c r="CG11" s="165">
        <f t="shared" ref="CG11:CG15" si="18">BU11-BI11</f>
        <v>9629</v>
      </c>
      <c r="CH11" s="100">
        <f t="shared" si="7"/>
        <v>11246</v>
      </c>
      <c r="CI11" s="100">
        <f t="shared" si="8"/>
        <v>11362</v>
      </c>
      <c r="CJ11" s="100">
        <f t="shared" si="9"/>
        <v>12421</v>
      </c>
      <c r="CK11" s="100">
        <f t="shared" si="10"/>
        <v>12134</v>
      </c>
      <c r="CL11" s="100">
        <f t="shared" si="11"/>
        <v>10485</v>
      </c>
      <c r="CM11" s="100">
        <f t="shared" si="12"/>
        <v>10498</v>
      </c>
      <c r="CN11" s="100">
        <f t="shared" si="13"/>
        <v>9875</v>
      </c>
      <c r="CO11" s="100">
        <f t="shared" si="14"/>
        <v>9881</v>
      </c>
      <c r="CP11" s="100">
        <f t="shared" si="15"/>
        <v>10331</v>
      </c>
      <c r="CQ11" s="100">
        <f t="shared" si="16"/>
        <v>9983</v>
      </c>
      <c r="CR11" s="200">
        <f t="shared" si="17"/>
        <v>-1083</v>
      </c>
    </row>
    <row r="12" spans="1:96" x14ac:dyDescent="0.25">
      <c r="A12" s="49"/>
      <c r="B12" s="96" t="s">
        <v>36</v>
      </c>
      <c r="C12" s="135">
        <v>3745</v>
      </c>
      <c r="D12" s="45">
        <v>3717</v>
      </c>
      <c r="E12" s="45">
        <v>3695</v>
      </c>
      <c r="F12" s="45">
        <v>3673</v>
      </c>
      <c r="G12" s="45">
        <v>3659</v>
      </c>
      <c r="H12" s="45">
        <v>3643</v>
      </c>
      <c r="I12" s="45">
        <v>3642</v>
      </c>
      <c r="J12" s="45">
        <v>3670</v>
      </c>
      <c r="K12" s="45">
        <v>3735</v>
      </c>
      <c r="L12" s="136">
        <v>3788</v>
      </c>
      <c r="M12" s="135">
        <v>3792</v>
      </c>
      <c r="N12" s="45">
        <v>3789</v>
      </c>
      <c r="O12" s="45">
        <v>3780</v>
      </c>
      <c r="P12" s="45">
        <f>3018+569+171+39</f>
        <v>3797</v>
      </c>
      <c r="Q12" s="45">
        <f>3013+569+171+39</f>
        <v>3792</v>
      </c>
      <c r="R12" s="45">
        <f>3001+570+175+38</f>
        <v>3784</v>
      </c>
      <c r="S12" s="45">
        <f>3001+570+174+37</f>
        <v>3782</v>
      </c>
      <c r="T12" s="45">
        <f>2998+570+175+36</f>
        <v>3779</v>
      </c>
      <c r="U12" s="45">
        <f>2981+558+175+37</f>
        <v>3751</v>
      </c>
      <c r="V12" s="45">
        <f>2982+557+174+39</f>
        <v>3752</v>
      </c>
      <c r="W12" s="45">
        <f>2994+559+182+39</f>
        <v>3774</v>
      </c>
      <c r="X12" s="136">
        <f>3022+560+184+39</f>
        <v>3805</v>
      </c>
      <c r="Y12" s="45">
        <f>3027+560+184+39</f>
        <v>3810</v>
      </c>
      <c r="Z12" s="45">
        <f>3036+562+183+39</f>
        <v>3820</v>
      </c>
      <c r="AA12" s="45">
        <f>3031+562+183+39</f>
        <v>3815</v>
      </c>
      <c r="AB12" s="45">
        <f>3025+562+184+40</f>
        <v>3811</v>
      </c>
      <c r="AC12" s="45">
        <f>3595+224</f>
        <v>3819</v>
      </c>
      <c r="AD12" s="45">
        <f>3024+563+180+38</f>
        <v>3805</v>
      </c>
      <c r="AE12" s="45">
        <f>3021+562+180+39</f>
        <v>3802</v>
      </c>
      <c r="AF12" s="45">
        <f>3021+563+180+38</f>
        <v>3802</v>
      </c>
      <c r="AG12" s="45">
        <f>3024+565+180+38</f>
        <v>3807</v>
      </c>
      <c r="AH12" s="45">
        <f>3025+562+180+38</f>
        <v>3805</v>
      </c>
      <c r="AI12" s="45">
        <f>3067+570+178+39</f>
        <v>3854</v>
      </c>
      <c r="AJ12" s="45">
        <f>3075+571+173+40</f>
        <v>3859</v>
      </c>
      <c r="AK12" s="135">
        <f>3084+568+177+39</f>
        <v>3868</v>
      </c>
      <c r="AL12" s="45">
        <f>3076+566+179+41</f>
        <v>3862</v>
      </c>
      <c r="AM12" s="45">
        <f>3084+572+178+40</f>
        <v>3874</v>
      </c>
      <c r="AN12" s="45">
        <f>3070+571+178+40</f>
        <v>3859</v>
      </c>
      <c r="AO12" s="45">
        <f>SUM(3062,573,177,40)</f>
        <v>3852</v>
      </c>
      <c r="AP12" s="45">
        <f>SUM(3040,573,178,44)</f>
        <v>3835</v>
      </c>
      <c r="AQ12" s="45">
        <f>SUM(3032+569+177+41)</f>
        <v>3819</v>
      </c>
      <c r="AR12" s="45">
        <f>3021+573+177+40</f>
        <v>3811</v>
      </c>
      <c r="AS12" s="45">
        <f>3003+573+176+40</f>
        <v>3792</v>
      </c>
      <c r="AT12" s="45">
        <f>3004+575+178+40</f>
        <v>3797</v>
      </c>
      <c r="AU12" s="45">
        <f>3049+579+178+40</f>
        <v>3846</v>
      </c>
      <c r="AV12" s="45">
        <f>3050+574+178+41</f>
        <v>3843</v>
      </c>
      <c r="AW12" s="165">
        <f>3067+574+179+41</f>
        <v>3861</v>
      </c>
      <c r="AX12" s="100">
        <f>3074+572+178+41</f>
        <v>3865</v>
      </c>
      <c r="AY12" s="100">
        <f>3071+569+178+42</f>
        <v>3860</v>
      </c>
      <c r="AZ12" s="100">
        <f>SUM(3062+566+180+42)</f>
        <v>3850</v>
      </c>
      <c r="BA12" s="100">
        <v>3804</v>
      </c>
      <c r="BB12" s="100">
        <v>3766</v>
      </c>
      <c r="BC12" s="100">
        <f>2966+558+180+44</f>
        <v>3748</v>
      </c>
      <c r="BD12" s="100">
        <f>(2953+556+181+43)</f>
        <v>3733</v>
      </c>
      <c r="BE12" s="100">
        <f>2933+564+183+43</f>
        <v>3723</v>
      </c>
      <c r="BF12" s="100">
        <f>2940+562+181+43</f>
        <v>3726</v>
      </c>
      <c r="BG12" s="100">
        <f>2993+568+183+43</f>
        <v>3787</v>
      </c>
      <c r="BH12" s="100">
        <v>3814</v>
      </c>
      <c r="BI12" s="165">
        <f t="shared" si="0"/>
        <v>-7</v>
      </c>
      <c r="BJ12" s="100">
        <f t="shared" si="1"/>
        <v>3</v>
      </c>
      <c r="BK12" s="100">
        <f t="shared" si="2"/>
        <v>-14</v>
      </c>
      <c r="BL12" s="100">
        <f t="shared" si="3"/>
        <v>-9</v>
      </c>
      <c r="BM12" s="100">
        <f t="shared" si="3"/>
        <v>-48</v>
      </c>
      <c r="BN12" s="100">
        <f t="shared" si="3"/>
        <v>-69</v>
      </c>
      <c r="BO12" s="100">
        <f t="shared" si="3"/>
        <v>-71</v>
      </c>
      <c r="BP12" s="100">
        <f t="shared" si="4"/>
        <v>-78</v>
      </c>
      <c r="BQ12" s="100">
        <f t="shared" si="5"/>
        <v>-69</v>
      </c>
      <c r="BR12" s="100">
        <f t="shared" si="6"/>
        <v>-71</v>
      </c>
      <c r="BS12" s="100">
        <f t="shared" si="6"/>
        <v>-59</v>
      </c>
      <c r="BT12" s="200">
        <f t="shared" si="6"/>
        <v>-29</v>
      </c>
      <c r="BU12" s="165">
        <f>3031+571+188+42</f>
        <v>3832</v>
      </c>
      <c r="BV12" s="100">
        <f>3025+571+186+40</f>
        <v>3822</v>
      </c>
      <c r="BW12" s="100">
        <v>3832</v>
      </c>
      <c r="BX12" s="100">
        <v>3808</v>
      </c>
      <c r="BY12" s="100">
        <f>3009+562+184+41</f>
        <v>3796</v>
      </c>
      <c r="BZ12" s="100">
        <v>3762</v>
      </c>
      <c r="CA12" s="100">
        <v>3748</v>
      </c>
      <c r="CB12" s="100">
        <v>3735</v>
      </c>
      <c r="CC12" s="100">
        <v>3718</v>
      </c>
      <c r="CD12" s="100">
        <v>3752</v>
      </c>
      <c r="CE12" s="100">
        <v>3770</v>
      </c>
      <c r="CF12" s="200"/>
      <c r="CG12" s="165">
        <f t="shared" si="18"/>
        <v>3839</v>
      </c>
      <c r="CH12" s="100">
        <f t="shared" si="7"/>
        <v>3819</v>
      </c>
      <c r="CI12" s="100">
        <f t="shared" si="8"/>
        <v>3846</v>
      </c>
      <c r="CJ12" s="100">
        <f t="shared" si="9"/>
        <v>3817</v>
      </c>
      <c r="CK12" s="100">
        <f t="shared" si="10"/>
        <v>3844</v>
      </c>
      <c r="CL12" s="100">
        <f t="shared" si="11"/>
        <v>3831</v>
      </c>
      <c r="CM12" s="100">
        <f t="shared" si="12"/>
        <v>3819</v>
      </c>
      <c r="CN12" s="100">
        <f t="shared" si="13"/>
        <v>3813</v>
      </c>
      <c r="CO12" s="100">
        <f t="shared" si="14"/>
        <v>3787</v>
      </c>
      <c r="CP12" s="100">
        <f t="shared" si="15"/>
        <v>3823</v>
      </c>
      <c r="CQ12" s="100">
        <f t="shared" si="16"/>
        <v>3829</v>
      </c>
      <c r="CR12" s="200">
        <f t="shared" si="17"/>
        <v>29</v>
      </c>
    </row>
    <row r="13" spans="1:96" x14ac:dyDescent="0.25">
      <c r="A13" s="49"/>
      <c r="B13" s="96" t="s">
        <v>37</v>
      </c>
      <c r="C13" s="135">
        <v>543</v>
      </c>
      <c r="D13" s="45">
        <v>543</v>
      </c>
      <c r="E13" s="45">
        <v>542</v>
      </c>
      <c r="F13" s="45">
        <v>541</v>
      </c>
      <c r="G13" s="45">
        <v>542</v>
      </c>
      <c r="H13" s="45">
        <v>542</v>
      </c>
      <c r="I13" s="45">
        <v>527</v>
      </c>
      <c r="J13" s="45">
        <v>431</v>
      </c>
      <c r="K13" s="45">
        <v>532</v>
      </c>
      <c r="L13" s="136">
        <v>536</v>
      </c>
      <c r="M13" s="135">
        <v>540</v>
      </c>
      <c r="N13" s="45">
        <v>541</v>
      </c>
      <c r="O13" s="45">
        <v>542</v>
      </c>
      <c r="P13" s="45">
        <f>220+107+148+66</f>
        <v>541</v>
      </c>
      <c r="Q13" s="45">
        <f>220+109+148+66</f>
        <v>543</v>
      </c>
      <c r="R13" s="45">
        <f>218+113+149+62</f>
        <v>542</v>
      </c>
      <c r="S13" s="45">
        <f>220+116+148+59</f>
        <v>543</v>
      </c>
      <c r="T13" s="45">
        <f>217+116+152+59</f>
        <v>544</v>
      </c>
      <c r="U13" s="45">
        <f>206+114+147+60</f>
        <v>527</v>
      </c>
      <c r="V13" s="45">
        <f>210+115+150+60</f>
        <v>535</v>
      </c>
      <c r="W13" s="45">
        <f>211+116+150+60</f>
        <v>537</v>
      </c>
      <c r="X13" s="136">
        <f>117+149+59+214</f>
        <v>539</v>
      </c>
      <c r="Y13" s="45">
        <f>215+118+148+58</f>
        <v>539</v>
      </c>
      <c r="Z13" s="45">
        <f>116+148+59+215</f>
        <v>538</v>
      </c>
      <c r="AA13" s="45">
        <f>116+148+216+59</f>
        <v>539</v>
      </c>
      <c r="AB13" s="45">
        <f>216+112+148+65</f>
        <v>541</v>
      </c>
      <c r="AC13" s="45">
        <v>542</v>
      </c>
      <c r="AD13" s="45">
        <f>222+115+143+64</f>
        <v>544</v>
      </c>
      <c r="AE13" s="45">
        <f>222+110+143+68</f>
        <v>543</v>
      </c>
      <c r="AF13" s="45">
        <f>222+109+143+69</f>
        <v>543</v>
      </c>
      <c r="AG13" s="45">
        <f>223+109+143+69</f>
        <v>544</v>
      </c>
      <c r="AH13" s="45">
        <f>223+109+143+69</f>
        <v>544</v>
      </c>
      <c r="AI13" s="45">
        <f>222+109+144+69</f>
        <v>544</v>
      </c>
      <c r="AJ13" s="45">
        <f>222+111+144+67</f>
        <v>544</v>
      </c>
      <c r="AK13" s="135">
        <f>227+111+143+67</f>
        <v>548</v>
      </c>
      <c r="AL13" s="45">
        <f>226+112+145+67</f>
        <v>550</v>
      </c>
      <c r="AM13" s="45">
        <f>227+110+145+67</f>
        <v>549</v>
      </c>
      <c r="AN13" s="45">
        <f>225+110+146+67</f>
        <v>548</v>
      </c>
      <c r="AO13" s="45">
        <f>SUM(224,110,148,68)</f>
        <v>550</v>
      </c>
      <c r="AP13" s="45">
        <f>SUM(221,109,161,68)</f>
        <v>559</v>
      </c>
      <c r="AQ13" s="45">
        <f>SUM(219+111+148+68)</f>
        <v>546</v>
      </c>
      <c r="AR13" s="45">
        <f>221+108+147+69</f>
        <v>545</v>
      </c>
      <c r="AS13" s="45">
        <f>217+107+147+69</f>
        <v>540</v>
      </c>
      <c r="AT13" s="45">
        <f>215+109+150+69</f>
        <v>543</v>
      </c>
      <c r="AU13" s="45">
        <f>213+106+151+69</f>
        <v>539</v>
      </c>
      <c r="AV13" s="45">
        <f>210+108+152+68</f>
        <v>538</v>
      </c>
      <c r="AW13" s="165">
        <f>212+110+151+41</f>
        <v>514</v>
      </c>
      <c r="AX13" s="100">
        <f>210+110+151+67</f>
        <v>538</v>
      </c>
      <c r="AY13" s="100">
        <f>210+107+151+69</f>
        <v>537</v>
      </c>
      <c r="AZ13" s="100">
        <f>SUM(210+107+151+69)</f>
        <v>537</v>
      </c>
      <c r="BA13" s="100">
        <v>537</v>
      </c>
      <c r="BB13" s="100">
        <v>535</v>
      </c>
      <c r="BC13" s="100">
        <f>209+105+152+70</f>
        <v>536</v>
      </c>
      <c r="BD13" s="100">
        <f>(208+104+152+70)</f>
        <v>534</v>
      </c>
      <c r="BE13" s="100">
        <f>208+102+157+70</f>
        <v>537</v>
      </c>
      <c r="BF13" s="100">
        <f>208+105+151+70</f>
        <v>534</v>
      </c>
      <c r="BG13" s="100">
        <f>205+103+152+70</f>
        <v>530</v>
      </c>
      <c r="BH13" s="100">
        <v>532</v>
      </c>
      <c r="BI13" s="165">
        <f t="shared" si="0"/>
        <v>-34</v>
      </c>
      <c r="BJ13" s="100">
        <f t="shared" si="1"/>
        <v>-12</v>
      </c>
      <c r="BK13" s="100">
        <f t="shared" si="2"/>
        <v>-12</v>
      </c>
      <c r="BL13" s="100">
        <f t="shared" si="3"/>
        <v>-11</v>
      </c>
      <c r="BM13" s="100">
        <f t="shared" si="3"/>
        <v>-13</v>
      </c>
      <c r="BN13" s="100">
        <f t="shared" si="3"/>
        <v>-24</v>
      </c>
      <c r="BO13" s="100">
        <f t="shared" si="3"/>
        <v>-10</v>
      </c>
      <c r="BP13" s="100">
        <f t="shared" si="4"/>
        <v>-11</v>
      </c>
      <c r="BQ13" s="100">
        <f t="shared" si="5"/>
        <v>-3</v>
      </c>
      <c r="BR13" s="100">
        <f t="shared" si="6"/>
        <v>-9</v>
      </c>
      <c r="BS13" s="100">
        <f t="shared" si="6"/>
        <v>-9</v>
      </c>
      <c r="BT13" s="200">
        <f t="shared" si="6"/>
        <v>-6</v>
      </c>
      <c r="BU13" s="165">
        <f>206+104+151+69</f>
        <v>530</v>
      </c>
      <c r="BV13" s="100">
        <f>209+105+149+68</f>
        <v>531</v>
      </c>
      <c r="BW13" s="100">
        <v>533</v>
      </c>
      <c r="BX13" s="100">
        <v>531</v>
      </c>
      <c r="BY13" s="100">
        <f>209+106+149+68</f>
        <v>532</v>
      </c>
      <c r="BZ13" s="100">
        <v>529</v>
      </c>
      <c r="CA13" s="100">
        <v>529</v>
      </c>
      <c r="CB13" s="100">
        <v>529</v>
      </c>
      <c r="CC13" s="100">
        <v>529</v>
      </c>
      <c r="CD13" s="100">
        <v>528</v>
      </c>
      <c r="CE13" s="100">
        <v>532</v>
      </c>
      <c r="CF13" s="200"/>
      <c r="CG13" s="165">
        <f t="shared" si="18"/>
        <v>564</v>
      </c>
      <c r="CH13" s="100">
        <f t="shared" si="7"/>
        <v>543</v>
      </c>
      <c r="CI13" s="100">
        <f t="shared" si="8"/>
        <v>545</v>
      </c>
      <c r="CJ13" s="100">
        <f t="shared" si="9"/>
        <v>542</v>
      </c>
      <c r="CK13" s="100">
        <f t="shared" si="10"/>
        <v>545</v>
      </c>
      <c r="CL13" s="100">
        <f t="shared" si="11"/>
        <v>553</v>
      </c>
      <c r="CM13" s="100">
        <f t="shared" si="12"/>
        <v>539</v>
      </c>
      <c r="CN13" s="100">
        <f t="shared" si="13"/>
        <v>540</v>
      </c>
      <c r="CO13" s="100">
        <f t="shared" si="14"/>
        <v>532</v>
      </c>
      <c r="CP13" s="100">
        <f t="shared" si="15"/>
        <v>537</v>
      </c>
      <c r="CQ13" s="100">
        <f t="shared" si="16"/>
        <v>541</v>
      </c>
      <c r="CR13" s="200">
        <f t="shared" si="17"/>
        <v>6</v>
      </c>
    </row>
    <row r="14" spans="1:96" x14ac:dyDescent="0.25">
      <c r="A14" s="49"/>
      <c r="B14" s="96" t="s">
        <v>38</v>
      </c>
      <c r="C14" s="135">
        <v>17</v>
      </c>
      <c r="D14" s="45">
        <v>17</v>
      </c>
      <c r="E14" s="45">
        <v>17</v>
      </c>
      <c r="F14" s="45">
        <v>17</v>
      </c>
      <c r="G14" s="45">
        <v>17</v>
      </c>
      <c r="H14" s="45">
        <v>17</v>
      </c>
      <c r="I14" s="45">
        <v>16</v>
      </c>
      <c r="J14" s="45">
        <v>16</v>
      </c>
      <c r="K14" s="45">
        <v>16</v>
      </c>
      <c r="L14" s="136">
        <v>17</v>
      </c>
      <c r="M14" s="135">
        <v>18</v>
      </c>
      <c r="N14" s="45">
        <v>18</v>
      </c>
      <c r="O14" s="45">
        <v>18</v>
      </c>
      <c r="P14" s="45">
        <f>2+2+4+10</f>
        <v>18</v>
      </c>
      <c r="Q14" s="45">
        <f>2+2+4+10</f>
        <v>18</v>
      </c>
      <c r="R14" s="45">
        <f>2+2+4+10</f>
        <v>18</v>
      </c>
      <c r="S14" s="45">
        <f>2+2+4+10</f>
        <v>18</v>
      </c>
      <c r="T14" s="45">
        <f>4+2+3+10</f>
        <v>19</v>
      </c>
      <c r="U14" s="45">
        <f>2+2+4+11</f>
        <v>19</v>
      </c>
      <c r="V14" s="45">
        <f>2+2+3+11</f>
        <v>18</v>
      </c>
      <c r="W14" s="45">
        <f>2+2+3+11</f>
        <v>18</v>
      </c>
      <c r="X14" s="136">
        <v>19</v>
      </c>
      <c r="Y14" s="45">
        <f>2+3+3+11</f>
        <v>19</v>
      </c>
      <c r="Z14" s="45">
        <f>3+2+3+11</f>
        <v>19</v>
      </c>
      <c r="AA14" s="45">
        <f>6+14</f>
        <v>20</v>
      </c>
      <c r="AB14" s="45">
        <f>5+14</f>
        <v>19</v>
      </c>
      <c r="AC14" s="45">
        <v>20</v>
      </c>
      <c r="AD14" s="45">
        <f>3+3+3+10</f>
        <v>19</v>
      </c>
      <c r="AE14" s="45">
        <f>6+13</f>
        <v>19</v>
      </c>
      <c r="AF14" s="45">
        <f>6+13</f>
        <v>19</v>
      </c>
      <c r="AG14" s="45">
        <f>6+13</f>
        <v>19</v>
      </c>
      <c r="AH14" s="45">
        <f>6+13</f>
        <v>19</v>
      </c>
      <c r="AI14" s="45">
        <f>5+13</f>
        <v>18</v>
      </c>
      <c r="AJ14" s="45">
        <f>3+4+13</f>
        <v>20</v>
      </c>
      <c r="AK14" s="135">
        <f>7+13</f>
        <v>20</v>
      </c>
      <c r="AL14" s="45">
        <f>8+13</f>
        <v>21</v>
      </c>
      <c r="AM14" s="45">
        <f>5+13</f>
        <v>18</v>
      </c>
      <c r="AN14" s="45">
        <f>13+6</f>
        <v>19</v>
      </c>
      <c r="AO14" s="45">
        <f>SUM(3,4,3,10)</f>
        <v>20</v>
      </c>
      <c r="AP14" s="45">
        <f>SUM(3,0,3,10)</f>
        <v>16</v>
      </c>
      <c r="AQ14" s="45">
        <f>SUM(3+4+3+10)</f>
        <v>20</v>
      </c>
      <c r="AR14" s="45">
        <f>3+4+13</f>
        <v>20</v>
      </c>
      <c r="AS14" s="45">
        <f>3+4+3+10</f>
        <v>20</v>
      </c>
      <c r="AT14" s="45">
        <f>3+4+3+10</f>
        <v>20</v>
      </c>
      <c r="AU14" s="45">
        <f>3+3+14</f>
        <v>20</v>
      </c>
      <c r="AV14" s="45">
        <f>3+2+3+11</f>
        <v>19</v>
      </c>
      <c r="AW14" s="165">
        <f>3+2+3+11</f>
        <v>19</v>
      </c>
      <c r="AX14" s="100">
        <f>3+2+3+11</f>
        <v>19</v>
      </c>
      <c r="AY14" s="100">
        <f>3+2+3+11</f>
        <v>19</v>
      </c>
      <c r="AZ14" s="100">
        <f>SUM(3+2+3+11)</f>
        <v>19</v>
      </c>
      <c r="BA14" s="100">
        <v>19</v>
      </c>
      <c r="BB14" s="100">
        <v>19</v>
      </c>
      <c r="BC14" s="100">
        <f>5+3+11</f>
        <v>19</v>
      </c>
      <c r="BD14" s="100">
        <f>(3+2+3+11)</f>
        <v>19</v>
      </c>
      <c r="BE14" s="100">
        <f>5+14</f>
        <v>19</v>
      </c>
      <c r="BF14" s="100">
        <f>3+2+3+11</f>
        <v>19</v>
      </c>
      <c r="BG14" s="100">
        <f>3+2+3+11</f>
        <v>19</v>
      </c>
      <c r="BH14" s="100">
        <v>19</v>
      </c>
      <c r="BI14" s="165">
        <f t="shared" si="0"/>
        <v>-1</v>
      </c>
      <c r="BJ14" s="100">
        <f t="shared" si="1"/>
        <v>-2</v>
      </c>
      <c r="BK14" s="100">
        <f t="shared" si="2"/>
        <v>1</v>
      </c>
      <c r="BL14" s="100">
        <f t="shared" si="3"/>
        <v>0</v>
      </c>
      <c r="BM14" s="100">
        <f t="shared" si="3"/>
        <v>-1</v>
      </c>
      <c r="BN14" s="100">
        <f t="shared" si="3"/>
        <v>3</v>
      </c>
      <c r="BO14" s="100">
        <f t="shared" si="3"/>
        <v>-1</v>
      </c>
      <c r="BP14" s="100">
        <f t="shared" si="4"/>
        <v>-1</v>
      </c>
      <c r="BQ14" s="100">
        <f t="shared" si="5"/>
        <v>-1</v>
      </c>
      <c r="BR14" s="100">
        <f t="shared" si="6"/>
        <v>-1</v>
      </c>
      <c r="BS14" s="100">
        <f t="shared" si="6"/>
        <v>-1</v>
      </c>
      <c r="BT14" s="200">
        <f t="shared" si="6"/>
        <v>0</v>
      </c>
      <c r="BU14" s="165">
        <v>19</v>
      </c>
      <c r="BV14" s="100">
        <f>3+3+3+10</f>
        <v>19</v>
      </c>
      <c r="BW14" s="100">
        <v>19</v>
      </c>
      <c r="BX14" s="100">
        <v>19</v>
      </c>
      <c r="BY14" s="100">
        <f>3+3+3+10</f>
        <v>19</v>
      </c>
      <c r="BZ14" s="100">
        <v>18</v>
      </c>
      <c r="CA14" s="100">
        <v>19</v>
      </c>
      <c r="CB14" s="100">
        <v>19</v>
      </c>
      <c r="CC14" s="100">
        <v>19</v>
      </c>
      <c r="CD14" s="100">
        <v>19</v>
      </c>
      <c r="CE14" s="100">
        <v>19</v>
      </c>
      <c r="CF14" s="200"/>
      <c r="CG14" s="165">
        <f t="shared" si="18"/>
        <v>20</v>
      </c>
      <c r="CH14" s="100">
        <f t="shared" si="7"/>
        <v>21</v>
      </c>
      <c r="CI14" s="100">
        <f t="shared" si="8"/>
        <v>18</v>
      </c>
      <c r="CJ14" s="100">
        <f t="shared" si="9"/>
        <v>19</v>
      </c>
      <c r="CK14" s="100">
        <f t="shared" si="10"/>
        <v>20</v>
      </c>
      <c r="CL14" s="100">
        <f t="shared" si="11"/>
        <v>15</v>
      </c>
      <c r="CM14" s="100">
        <f t="shared" si="12"/>
        <v>20</v>
      </c>
      <c r="CN14" s="100">
        <f t="shared" si="13"/>
        <v>20</v>
      </c>
      <c r="CO14" s="100">
        <f t="shared" si="14"/>
        <v>20</v>
      </c>
      <c r="CP14" s="100">
        <f t="shared" si="15"/>
        <v>20</v>
      </c>
      <c r="CQ14" s="100">
        <f t="shared" si="16"/>
        <v>20</v>
      </c>
      <c r="CR14" s="200">
        <f t="shared" si="17"/>
        <v>0</v>
      </c>
    </row>
    <row r="15" spans="1:96" ht="15.75" thickBot="1" x14ac:dyDescent="0.3">
      <c r="A15" s="49"/>
      <c r="B15" s="98" t="s">
        <v>39</v>
      </c>
      <c r="C15" s="153">
        <f t="shared" ref="C15:AC15" si="19">SUM(C10:C14)</f>
        <v>56784</v>
      </c>
      <c r="D15" s="113">
        <f t="shared" si="19"/>
        <v>56340</v>
      </c>
      <c r="E15" s="113">
        <f t="shared" si="19"/>
        <v>56172</v>
      </c>
      <c r="F15" s="113">
        <f t="shared" si="19"/>
        <v>56201</v>
      </c>
      <c r="G15" s="113">
        <f t="shared" si="19"/>
        <v>56028</v>
      </c>
      <c r="H15" s="113">
        <f t="shared" si="19"/>
        <v>55885</v>
      </c>
      <c r="I15" s="113">
        <f t="shared" si="19"/>
        <v>55893</v>
      </c>
      <c r="J15" s="113">
        <f t="shared" si="19"/>
        <v>55921</v>
      </c>
      <c r="K15" s="113">
        <f t="shared" si="19"/>
        <v>56579</v>
      </c>
      <c r="L15" s="99">
        <f t="shared" si="19"/>
        <v>56965</v>
      </c>
      <c r="M15" s="153">
        <f t="shared" si="19"/>
        <v>57024</v>
      </c>
      <c r="N15" s="113">
        <f t="shared" si="19"/>
        <v>57103</v>
      </c>
      <c r="O15" s="113">
        <f t="shared" si="19"/>
        <v>57109</v>
      </c>
      <c r="P15" s="113">
        <f t="shared" si="19"/>
        <v>57241</v>
      </c>
      <c r="Q15" s="113">
        <f t="shared" si="19"/>
        <v>57313</v>
      </c>
      <c r="R15" s="113">
        <f t="shared" si="19"/>
        <v>57379</v>
      </c>
      <c r="S15" s="113">
        <f t="shared" si="19"/>
        <v>57421</v>
      </c>
      <c r="T15" s="113">
        <f t="shared" si="19"/>
        <v>57519</v>
      </c>
      <c r="U15" s="113">
        <f t="shared" si="19"/>
        <v>57571</v>
      </c>
      <c r="V15" s="113">
        <f t="shared" si="19"/>
        <v>57609</v>
      </c>
      <c r="W15" s="113">
        <f t="shared" si="19"/>
        <v>57707</v>
      </c>
      <c r="X15" s="99">
        <f t="shared" si="19"/>
        <v>57860</v>
      </c>
      <c r="Y15" s="113">
        <f t="shared" si="19"/>
        <v>57910</v>
      </c>
      <c r="Z15" s="113">
        <f t="shared" si="19"/>
        <v>58001</v>
      </c>
      <c r="AA15" s="113">
        <f t="shared" si="19"/>
        <v>58029</v>
      </c>
      <c r="AB15" s="113">
        <f t="shared" si="19"/>
        <v>58035</v>
      </c>
      <c r="AC15" s="113">
        <f t="shared" si="19"/>
        <v>58403</v>
      </c>
      <c r="AD15" s="113">
        <f t="shared" ref="AD15:AI15" si="20">SUM(AD10:AD14)</f>
        <v>58469</v>
      </c>
      <c r="AE15" s="113">
        <f t="shared" si="20"/>
        <v>58419</v>
      </c>
      <c r="AF15" s="113">
        <f t="shared" si="20"/>
        <v>58388</v>
      </c>
      <c r="AG15" s="113">
        <f t="shared" si="20"/>
        <v>58413</v>
      </c>
      <c r="AH15" s="113">
        <f t="shared" si="20"/>
        <v>58431</v>
      </c>
      <c r="AI15" s="113">
        <f t="shared" si="20"/>
        <v>58605</v>
      </c>
      <c r="AJ15" s="113">
        <f>SUM(AJ10:AJ14)</f>
        <v>58846</v>
      </c>
      <c r="AK15" s="153">
        <f>SUM(AK10:AK14)</f>
        <v>58902</v>
      </c>
      <c r="AL15" s="113">
        <f>SUM(AL10:AL14)</f>
        <v>58865</v>
      </c>
      <c r="AM15" s="113">
        <f t="shared" ref="AM15:AR15" si="21">SUM(AM10:AM14)</f>
        <v>59005</v>
      </c>
      <c r="AN15" s="113">
        <f t="shared" si="21"/>
        <v>58870</v>
      </c>
      <c r="AO15" s="113">
        <f t="shared" si="21"/>
        <v>58856</v>
      </c>
      <c r="AP15" s="113">
        <f t="shared" si="21"/>
        <v>58873</v>
      </c>
      <c r="AQ15" s="113">
        <f t="shared" si="21"/>
        <v>58806</v>
      </c>
      <c r="AR15" s="113">
        <f t="shared" si="21"/>
        <v>58566</v>
      </c>
      <c r="AS15" s="113">
        <f t="shared" ref="AS15:AX15" si="22">SUM(AS10:AS14)</f>
        <v>58495</v>
      </c>
      <c r="AT15" s="113">
        <f t="shared" si="22"/>
        <v>58643</v>
      </c>
      <c r="AU15" s="113">
        <f t="shared" si="22"/>
        <v>58880</v>
      </c>
      <c r="AV15" s="113">
        <f t="shared" si="22"/>
        <v>58994</v>
      </c>
      <c r="AW15" s="166">
        <f t="shared" si="22"/>
        <v>59015</v>
      </c>
      <c r="AX15" s="102">
        <f t="shared" si="22"/>
        <v>59058</v>
      </c>
      <c r="AY15" s="114">
        <f t="shared" ref="AY15:BD15" si="23">SUM(AY10:AY14)</f>
        <v>59145</v>
      </c>
      <c r="AZ15" s="114">
        <f t="shared" si="23"/>
        <v>58938</v>
      </c>
      <c r="BA15" s="114">
        <f t="shared" si="23"/>
        <v>59029</v>
      </c>
      <c r="BB15" s="114">
        <f t="shared" si="23"/>
        <v>58883</v>
      </c>
      <c r="BC15" s="102">
        <f t="shared" si="23"/>
        <v>58660</v>
      </c>
      <c r="BD15" s="102">
        <f t="shared" si="23"/>
        <v>58582</v>
      </c>
      <c r="BE15" s="102">
        <f>SUM(BE10:BE14)</f>
        <v>58484</v>
      </c>
      <c r="BF15" s="102">
        <f>SUM(BF10:BF14)</f>
        <v>58645</v>
      </c>
      <c r="BG15" s="102">
        <f>SUM(BG10:BG14)</f>
        <v>58954</v>
      </c>
      <c r="BH15" s="102">
        <f>SUM(BH10:BH14)</f>
        <v>59015</v>
      </c>
      <c r="BI15" s="165">
        <f t="shared" si="0"/>
        <v>113</v>
      </c>
      <c r="BJ15" s="102">
        <f t="shared" si="1"/>
        <v>193</v>
      </c>
      <c r="BK15" s="114">
        <f t="shared" si="2"/>
        <v>140</v>
      </c>
      <c r="BL15" s="114">
        <f t="shared" si="3"/>
        <v>68</v>
      </c>
      <c r="BM15" s="114">
        <f t="shared" si="3"/>
        <v>173</v>
      </c>
      <c r="BN15" s="114">
        <f t="shared" si="3"/>
        <v>10</v>
      </c>
      <c r="BO15" s="114">
        <f t="shared" si="3"/>
        <v>-146</v>
      </c>
      <c r="BP15" s="114">
        <f t="shared" si="4"/>
        <v>16</v>
      </c>
      <c r="BQ15" s="114">
        <f t="shared" si="5"/>
        <v>-11</v>
      </c>
      <c r="BR15" s="114">
        <f t="shared" si="6"/>
        <v>2</v>
      </c>
      <c r="BS15" s="114">
        <f t="shared" si="6"/>
        <v>74</v>
      </c>
      <c r="BT15" s="201">
        <f t="shared" si="6"/>
        <v>21</v>
      </c>
      <c r="BU15" s="166">
        <f t="shared" ref="BU15:CB15" si="24">SUM(BU10:BU14)</f>
        <v>59158</v>
      </c>
      <c r="BV15" s="102">
        <f t="shared" si="24"/>
        <v>59059</v>
      </c>
      <c r="BW15" s="102">
        <f t="shared" si="24"/>
        <v>59134</v>
      </c>
      <c r="BX15" s="102">
        <f t="shared" si="24"/>
        <v>59207</v>
      </c>
      <c r="BY15" s="102">
        <f t="shared" si="24"/>
        <v>59085</v>
      </c>
      <c r="BZ15" s="114">
        <v>58696</v>
      </c>
      <c r="CA15" s="102">
        <f t="shared" si="24"/>
        <v>58565</v>
      </c>
      <c r="CB15" s="102">
        <f t="shared" si="24"/>
        <v>58481</v>
      </c>
      <c r="CC15" s="102">
        <f>SUM(CC10:CC14)</f>
        <v>58412</v>
      </c>
      <c r="CD15" s="102">
        <f>SUM(CD10:CD14)</f>
        <v>58530</v>
      </c>
      <c r="CE15" s="102">
        <f>SUM(CE10:CE14)</f>
        <v>58652</v>
      </c>
      <c r="CF15" s="202">
        <f>SUM(CF10:CF14)</f>
        <v>0</v>
      </c>
      <c r="CG15" s="165">
        <f t="shared" si="18"/>
        <v>59045</v>
      </c>
      <c r="CH15" s="102">
        <f t="shared" si="7"/>
        <v>58866</v>
      </c>
      <c r="CI15" s="114">
        <f t="shared" si="8"/>
        <v>58994</v>
      </c>
      <c r="CJ15" s="114">
        <f t="shared" si="9"/>
        <v>59139</v>
      </c>
      <c r="CK15" s="114">
        <f t="shared" si="10"/>
        <v>58912</v>
      </c>
      <c r="CL15" s="114">
        <f t="shared" si="11"/>
        <v>58686</v>
      </c>
      <c r="CM15" s="114">
        <f t="shared" si="12"/>
        <v>58711</v>
      </c>
      <c r="CN15" s="114">
        <f t="shared" si="13"/>
        <v>58465</v>
      </c>
      <c r="CO15" s="114">
        <f t="shared" si="14"/>
        <v>58423</v>
      </c>
      <c r="CP15" s="114">
        <f t="shared" si="15"/>
        <v>-2</v>
      </c>
      <c r="CQ15" s="114">
        <f t="shared" si="16"/>
        <v>58578</v>
      </c>
      <c r="CR15" s="201">
        <f t="shared" si="17"/>
        <v>-21</v>
      </c>
    </row>
    <row r="16" spans="1:96" x14ac:dyDescent="0.25">
      <c r="A16" s="49">
        <f>+A9+1</f>
        <v>2</v>
      </c>
      <c r="B16" s="93" t="s">
        <v>17</v>
      </c>
      <c r="C16" s="149"/>
      <c r="D16" s="116"/>
      <c r="E16" s="116"/>
      <c r="F16" s="116"/>
      <c r="G16" s="116"/>
      <c r="H16" s="116"/>
      <c r="I16" s="116"/>
      <c r="J16" s="116"/>
      <c r="K16" s="116"/>
      <c r="L16" s="117"/>
      <c r="M16" s="149"/>
      <c r="N16" s="116"/>
      <c r="O16" s="116"/>
      <c r="P16" s="116"/>
      <c r="Q16" s="116"/>
      <c r="R16" s="116"/>
      <c r="S16" s="116"/>
      <c r="T16" s="116"/>
      <c r="U16" s="116"/>
      <c r="V16" s="116"/>
      <c r="W16" s="116"/>
      <c r="X16" s="117"/>
      <c r="Y16" s="116"/>
      <c r="Z16" s="116"/>
      <c r="AA16" s="116"/>
      <c r="AB16" s="116"/>
      <c r="AC16" s="116"/>
      <c r="AD16" s="116"/>
      <c r="AE16" s="116"/>
      <c r="AF16" s="116"/>
      <c r="AG16" s="116"/>
      <c r="AH16" s="116"/>
      <c r="AI16" s="116"/>
      <c r="AJ16" s="116"/>
      <c r="AK16" s="149"/>
      <c r="AL16" s="116"/>
      <c r="AM16" s="116"/>
      <c r="AN16" s="116"/>
      <c r="AO16" s="116"/>
      <c r="AP16" s="116"/>
      <c r="AQ16" s="116"/>
      <c r="AR16" s="116"/>
      <c r="AS16" s="116"/>
      <c r="AT16" s="116"/>
      <c r="AU16" s="116"/>
      <c r="AV16" s="116"/>
      <c r="AW16" s="164"/>
      <c r="AX16" s="94"/>
      <c r="AY16" s="94"/>
      <c r="AZ16" s="94"/>
      <c r="BA16" s="94"/>
      <c r="BB16" s="94"/>
      <c r="BC16" s="196"/>
      <c r="BD16" s="196"/>
      <c r="BE16" s="196"/>
      <c r="BF16" s="196"/>
      <c r="BG16" s="196"/>
      <c r="BH16" s="95"/>
      <c r="BI16" s="164"/>
      <c r="BJ16" s="94"/>
      <c r="BK16" s="94"/>
      <c r="BL16" s="94"/>
      <c r="BM16" s="94"/>
      <c r="BN16" s="94"/>
      <c r="BO16" s="94"/>
      <c r="BP16" s="94"/>
      <c r="BQ16" s="94"/>
      <c r="BR16" s="94"/>
      <c r="BS16" s="94"/>
      <c r="BT16" s="95"/>
      <c r="BU16" s="164"/>
      <c r="BV16" s="94"/>
      <c r="BW16" s="94"/>
      <c r="BX16" s="94"/>
      <c r="BY16" s="94"/>
      <c r="BZ16" s="94"/>
      <c r="CA16" s="196"/>
      <c r="CB16" s="196"/>
      <c r="CC16" s="196"/>
      <c r="CD16" s="196"/>
      <c r="CE16" s="196"/>
      <c r="CF16" s="95"/>
      <c r="CG16" s="164"/>
      <c r="CH16" s="94"/>
      <c r="CI16" s="94"/>
      <c r="CJ16" s="94"/>
      <c r="CK16" s="94"/>
      <c r="CL16" s="94"/>
      <c r="CM16" s="94"/>
      <c r="CN16" s="94"/>
      <c r="CO16" s="94"/>
      <c r="CP16" s="94"/>
      <c r="CQ16" s="94"/>
      <c r="CR16" s="95"/>
    </row>
    <row r="17" spans="1:96" x14ac:dyDescent="0.25">
      <c r="A17" s="49"/>
      <c r="B17" s="96" t="s">
        <v>34</v>
      </c>
      <c r="C17" s="135">
        <f>C24+C31+C38-2625</f>
        <v>18033</v>
      </c>
      <c r="D17" s="45">
        <f>D24+D31+D38-2955</f>
        <v>18690</v>
      </c>
      <c r="E17" s="45">
        <f>E24+E31+E38-3100</f>
        <v>19349</v>
      </c>
      <c r="F17" s="45">
        <f>F24+F31+F38-4327</f>
        <v>20789</v>
      </c>
      <c r="G17" s="45">
        <f>G24+G31+G38-4738</f>
        <v>19846</v>
      </c>
      <c r="H17" s="45">
        <f>H24+H31+H38-5455</f>
        <v>19505</v>
      </c>
      <c r="I17" s="45">
        <f>I24+I31+I38-5440</f>
        <v>18922</v>
      </c>
      <c r="J17" s="45">
        <f>J24+J31+J38-5082</f>
        <v>17708</v>
      </c>
      <c r="K17" s="45">
        <f>K24+K31+K38-4917</f>
        <v>18029</v>
      </c>
      <c r="L17" s="136">
        <f>L24+L31+L38-4619</f>
        <v>17720</v>
      </c>
      <c r="M17" s="135">
        <f>M24+M31+M38-3846</f>
        <v>17153</v>
      </c>
      <c r="N17" s="45">
        <f>N24+N31+N38-3004</f>
        <v>18000</v>
      </c>
      <c r="O17" s="45">
        <f>O24+O31+O38-3354</f>
        <v>19684</v>
      </c>
      <c r="P17" s="45">
        <f>P24+P31+P38-4547</f>
        <v>20389</v>
      </c>
      <c r="Q17" s="45">
        <f>Q24+Q31+Q38-5469</f>
        <v>21448</v>
      </c>
      <c r="R17" s="45">
        <f>R24+R31+R38-6530</f>
        <v>22002</v>
      </c>
      <c r="S17" s="45">
        <f>S24+S31+S38-6593</f>
        <v>21109</v>
      </c>
      <c r="T17" s="45">
        <f>T24+T31+T38-7086</f>
        <v>21224</v>
      </c>
      <c r="U17" s="45">
        <f>SUM(U24+U31+U38-7083)</f>
        <v>21173</v>
      </c>
      <c r="V17" s="45">
        <f>SUM(V24+V31+V38-6744)</f>
        <v>20211</v>
      </c>
      <c r="W17" s="45">
        <f>SUM(W24+W31+W38-6543)</f>
        <v>21604</v>
      </c>
      <c r="X17" s="136">
        <f>SUM(X24+X31+X38-6217)</f>
        <v>21370</v>
      </c>
      <c r="Y17" s="45">
        <f>SUM(Y24+Y31+Y38-5921)</f>
        <v>20960</v>
      </c>
      <c r="Z17" s="45">
        <f>SUM(Z24+Z31+Z38-5617)</f>
        <v>23066</v>
      </c>
      <c r="AA17" s="45">
        <f>SUM(AA24+AA31+AA38-5618)</f>
        <v>22171</v>
      </c>
      <c r="AB17" s="45">
        <f>SUM(AB24+AB31+AB38-6003)</f>
        <v>22556</v>
      </c>
      <c r="AC17" s="45">
        <f>SUM(AC24+AC31+AC38-6003)</f>
        <v>18926</v>
      </c>
      <c r="AD17" s="45">
        <f>AD24+AD31+AD38</f>
        <v>20930</v>
      </c>
      <c r="AE17" s="45">
        <v>14908</v>
      </c>
      <c r="AF17" s="45">
        <v>9987</v>
      </c>
      <c r="AG17" s="45">
        <f>506+9132+43</f>
        <v>9681</v>
      </c>
      <c r="AH17" s="45">
        <v>9222</v>
      </c>
      <c r="AI17" s="45">
        <v>8806</v>
      </c>
      <c r="AJ17" s="45">
        <f>523+8693+9</f>
        <v>9225</v>
      </c>
      <c r="AK17" s="135">
        <f>504+8043</f>
        <v>8547</v>
      </c>
      <c r="AL17" s="45">
        <f>483+7782+3</f>
        <v>8268</v>
      </c>
      <c r="AM17" s="45">
        <f>500+8864+32</f>
        <v>9396</v>
      </c>
      <c r="AN17" s="45"/>
      <c r="AO17" s="45"/>
      <c r="AP17" s="45">
        <f>698+13499+2</f>
        <v>14199</v>
      </c>
      <c r="AQ17" s="45">
        <f>832+16113+3</f>
        <v>16948</v>
      </c>
      <c r="AR17" s="45">
        <f>880+16707+3</f>
        <v>17590</v>
      </c>
      <c r="AS17" s="45">
        <f>509+8776+2</f>
        <v>9287</v>
      </c>
      <c r="AT17" s="45">
        <f>504+8113+12</f>
        <v>8629</v>
      </c>
      <c r="AU17" s="45">
        <f>508+7951+9</f>
        <v>8468</v>
      </c>
      <c r="AV17" s="45">
        <f>528+8029+4</f>
        <v>8561</v>
      </c>
      <c r="AW17" s="165">
        <f>495+7085+2</f>
        <v>7582</v>
      </c>
      <c r="AX17" s="100">
        <f>509+7559+2</f>
        <v>8070</v>
      </c>
      <c r="AY17" s="100">
        <f>481+7901+4</f>
        <v>8386</v>
      </c>
      <c r="AZ17" s="100">
        <f>SUM(485+8377+2)</f>
        <v>8864</v>
      </c>
      <c r="BA17" s="192">
        <f>SUM(601+12295+2)</f>
        <v>12898</v>
      </c>
      <c r="BB17" s="100">
        <v>16106</v>
      </c>
      <c r="BC17" s="100">
        <f>648+11150+6</f>
        <v>11804</v>
      </c>
      <c r="BD17" s="100">
        <v>7424</v>
      </c>
      <c r="BE17" s="100">
        <v>6820</v>
      </c>
      <c r="BF17" s="100">
        <f>346+5986+4</f>
        <v>6336</v>
      </c>
      <c r="BG17" s="100">
        <f>406+6326+409+3</f>
        <v>7144</v>
      </c>
      <c r="BH17" s="100">
        <v>6669</v>
      </c>
      <c r="BI17" s="165">
        <f t="shared" ref="BI17:BI22" si="25">AW17-AK17</f>
        <v>-965</v>
      </c>
      <c r="BJ17" s="100">
        <f t="shared" ref="BJ17:BJ22" si="26">AX17-AL17</f>
        <v>-198</v>
      </c>
      <c r="BK17" s="100">
        <f t="shared" ref="BK17:BK22" si="27">AY17-AM17</f>
        <v>-1010</v>
      </c>
      <c r="BL17" s="100">
        <f t="shared" ref="BL17:BO22" si="28">AZ17-AN17</f>
        <v>8864</v>
      </c>
      <c r="BM17" s="100">
        <f t="shared" si="28"/>
        <v>12898</v>
      </c>
      <c r="BN17" s="100">
        <f t="shared" si="28"/>
        <v>1907</v>
      </c>
      <c r="BO17" s="100">
        <f t="shared" si="28"/>
        <v>-5144</v>
      </c>
      <c r="BP17" s="100">
        <f t="shared" ref="BP17:BP22" si="29">BD17-AR17</f>
        <v>-10166</v>
      </c>
      <c r="BQ17" s="100">
        <f t="shared" ref="BQ17:BQ22" si="30">BE17-AS17</f>
        <v>-2467</v>
      </c>
      <c r="BR17" s="100">
        <f t="shared" ref="BR17:BT22" si="31">BF17-AT17</f>
        <v>-2293</v>
      </c>
      <c r="BS17" s="100">
        <f t="shared" si="31"/>
        <v>-1324</v>
      </c>
      <c r="BT17" s="200">
        <f t="shared" si="31"/>
        <v>-1892</v>
      </c>
      <c r="BU17" s="165">
        <f>365+5464</f>
        <v>5829</v>
      </c>
      <c r="BV17" s="100">
        <v>5950</v>
      </c>
      <c r="BW17" s="100">
        <v>5662</v>
      </c>
      <c r="BX17" s="100">
        <v>5419</v>
      </c>
      <c r="BY17" s="100">
        <f>297+5143+1</f>
        <v>5441</v>
      </c>
      <c r="BZ17" s="100">
        <v>6273</v>
      </c>
      <c r="CA17" s="100">
        <v>6581</v>
      </c>
      <c r="CB17" s="100">
        <v>6640</v>
      </c>
      <c r="CC17" s="100">
        <v>6617</v>
      </c>
      <c r="CD17" s="100">
        <v>6002</v>
      </c>
      <c r="CE17" s="100">
        <v>5672</v>
      </c>
      <c r="CF17" s="200"/>
      <c r="CG17" s="165">
        <f t="shared" ref="CG17:CG22" si="32">BU17-BI17</f>
        <v>6794</v>
      </c>
      <c r="CH17" s="100">
        <f t="shared" ref="CH17:CH22" si="33">BV17-BJ17</f>
        <v>6148</v>
      </c>
      <c r="CI17" s="100">
        <f t="shared" ref="CI17:CI22" si="34">BW17-BK17</f>
        <v>6672</v>
      </c>
      <c r="CJ17" s="100">
        <f t="shared" ref="CJ17:CJ22" si="35">BX17-BL17</f>
        <v>-3445</v>
      </c>
      <c r="CK17" s="100">
        <f t="shared" ref="CK17:CK22" si="36">BY17-BM17</f>
        <v>-7457</v>
      </c>
      <c r="CL17" s="100">
        <f t="shared" ref="CL17:CL22" si="37">BZ17-BN17</f>
        <v>4366</v>
      </c>
      <c r="CM17" s="100">
        <f t="shared" ref="CM17:CM22" si="38">CA17-BO17</f>
        <v>11725</v>
      </c>
      <c r="CN17" s="100">
        <f t="shared" ref="CN17:CN22" si="39">CB17-BP17</f>
        <v>16806</v>
      </c>
      <c r="CO17" s="100">
        <f t="shared" ref="CO17:CO22" si="40">CC17-BQ17</f>
        <v>9084</v>
      </c>
      <c r="CP17" s="100">
        <f t="shared" ref="CP17:CP22" si="41">CD17-BR17</f>
        <v>8295</v>
      </c>
      <c r="CQ17" s="100">
        <f t="shared" ref="CQ17:CQ22" si="42">CE17-BS17</f>
        <v>6996</v>
      </c>
      <c r="CR17" s="200">
        <f t="shared" ref="CR17:CR22" si="43">CF17-BT17</f>
        <v>1892</v>
      </c>
    </row>
    <row r="18" spans="1:96" x14ac:dyDescent="0.25">
      <c r="A18" s="49"/>
      <c r="B18" s="96" t="s">
        <v>35</v>
      </c>
      <c r="C18" s="135">
        <f>C25+C32+C39-1801</f>
        <v>6725</v>
      </c>
      <c r="D18" s="45">
        <f>D25+D32+D39-1760</f>
        <v>6639</v>
      </c>
      <c r="E18" s="45">
        <f>E25+E32+E39-1394</f>
        <v>6235</v>
      </c>
      <c r="F18" s="45">
        <f>F25+F32+F39-1883</f>
        <v>8249</v>
      </c>
      <c r="G18" s="45">
        <f>G25+G32+G39-2181</f>
        <v>9665</v>
      </c>
      <c r="H18" s="45">
        <f>H25+H32+H39-3624</f>
        <v>9646</v>
      </c>
      <c r="I18" s="45">
        <f>I25+I32+I39-3698</f>
        <v>9683</v>
      </c>
      <c r="J18" s="45">
        <f>J25+J32+J39-3638</f>
        <v>9661</v>
      </c>
      <c r="K18" s="45">
        <f>K25+K32+K39-3468</f>
        <v>9351</v>
      </c>
      <c r="L18" s="136">
        <f>L25+L32+L39-2742</f>
        <v>7840</v>
      </c>
      <c r="M18" s="135">
        <f>M25+M32+M39-2178</f>
        <v>6416</v>
      </c>
      <c r="N18" s="45">
        <f>N25+N32+N39-1985</f>
        <v>6112</v>
      </c>
      <c r="O18" s="45">
        <f>O25+O32+O39-2010</f>
        <v>5970</v>
      </c>
      <c r="P18" s="45">
        <f>P25+P32+P39-2198</f>
        <v>6796</v>
      </c>
      <c r="Q18" s="45">
        <f>Q25+Q32+Q39-2200</f>
        <v>6965</v>
      </c>
      <c r="R18" s="45">
        <f>R25+R32+R39-1143</f>
        <v>5818</v>
      </c>
      <c r="S18" s="45">
        <f>S25+S32+S39-1043</f>
        <v>7077</v>
      </c>
      <c r="T18" s="45">
        <f>T25+T32+T39-2635</f>
        <v>7691</v>
      </c>
      <c r="U18" s="45">
        <f>SUM(U25+U32+U39-3028)</f>
        <v>8577</v>
      </c>
      <c r="V18" s="45">
        <f>SUM(V25+V32+V39-3248)</f>
        <v>8634</v>
      </c>
      <c r="W18" s="45">
        <f>SUM(W25+W32+W39-3508)</f>
        <v>9448</v>
      </c>
      <c r="X18" s="136">
        <f>SUM(X25+X32+X39-3357)</f>
        <v>9616</v>
      </c>
      <c r="Y18" s="45">
        <f>SUM(Y25+Y32+Y39-3438)</f>
        <v>9997</v>
      </c>
      <c r="Z18" s="45">
        <f>SUM(Z25+Z32+Z39-3212)</f>
        <v>10001</v>
      </c>
      <c r="AA18" s="45">
        <f>SUM(AA25+AA32+AA39-3015)</f>
        <v>8635</v>
      </c>
      <c r="AB18" s="45">
        <f>SUM(AB25+AB32+AB39-2739)</f>
        <v>7745</v>
      </c>
      <c r="AC18" s="45">
        <f>SUM(AC25+AC32+AC39-2739)</f>
        <v>2790</v>
      </c>
      <c r="AD18" s="45">
        <f>AD25+AD32+AD39</f>
        <v>9024</v>
      </c>
      <c r="AE18" s="45">
        <v>4837</v>
      </c>
      <c r="AF18" s="45">
        <v>4183</v>
      </c>
      <c r="AG18" s="45">
        <f>81+3894</f>
        <v>3975</v>
      </c>
      <c r="AH18" s="45">
        <v>4133</v>
      </c>
      <c r="AI18" s="45">
        <v>2431</v>
      </c>
      <c r="AJ18" s="45">
        <f>94+2408</f>
        <v>2502</v>
      </c>
      <c r="AK18" s="135">
        <f>98+2585</f>
        <v>2683</v>
      </c>
      <c r="AL18" s="45">
        <f>88+2502</f>
        <v>2590</v>
      </c>
      <c r="AM18" s="45">
        <f>91+2884</f>
        <v>2975</v>
      </c>
      <c r="AN18" s="45"/>
      <c r="AO18" s="45"/>
      <c r="AP18" s="45">
        <f>110+3623+1</f>
        <v>3734</v>
      </c>
      <c r="AQ18" s="45">
        <f>119+4119+1</f>
        <v>4239</v>
      </c>
      <c r="AR18" s="45">
        <f>131+4326+1</f>
        <v>4458</v>
      </c>
      <c r="AS18" s="45">
        <f>91+3076</f>
        <v>3167</v>
      </c>
      <c r="AT18" s="45">
        <f>89+2873</f>
        <v>2962</v>
      </c>
      <c r="AU18" s="45">
        <f>77+2675</f>
        <v>2752</v>
      </c>
      <c r="AV18" s="45">
        <f>81+2832</f>
        <v>2913</v>
      </c>
      <c r="AW18" s="165">
        <f>116+3358</f>
        <v>3474</v>
      </c>
      <c r="AX18" s="100">
        <f>91+3153</f>
        <v>3244</v>
      </c>
      <c r="AY18" s="100">
        <f>100+3254</f>
        <v>3354</v>
      </c>
      <c r="AZ18" s="100">
        <v>3725</v>
      </c>
      <c r="BA18" s="192">
        <f>SUM(196+8671+1)</f>
        <v>8868</v>
      </c>
      <c r="BB18" s="100">
        <v>4828</v>
      </c>
      <c r="BC18" s="100">
        <f>137+3980</f>
        <v>4117</v>
      </c>
      <c r="BD18" s="100">
        <f>(208+5706+1)</f>
        <v>5915</v>
      </c>
      <c r="BE18" s="100">
        <f>113+3443</f>
        <v>3556</v>
      </c>
      <c r="BF18" s="100">
        <f>109+3343</f>
        <v>3452</v>
      </c>
      <c r="BG18" s="100">
        <f>110+3392+38</f>
        <v>3540</v>
      </c>
      <c r="BH18" s="100">
        <v>3283</v>
      </c>
      <c r="BI18" s="165">
        <f t="shared" si="25"/>
        <v>791</v>
      </c>
      <c r="BJ18" s="100">
        <f t="shared" si="26"/>
        <v>654</v>
      </c>
      <c r="BK18" s="100">
        <f t="shared" si="27"/>
        <v>379</v>
      </c>
      <c r="BL18" s="100">
        <f t="shared" si="28"/>
        <v>3725</v>
      </c>
      <c r="BM18" s="100">
        <f t="shared" si="28"/>
        <v>8868</v>
      </c>
      <c r="BN18" s="100">
        <f t="shared" si="28"/>
        <v>1094</v>
      </c>
      <c r="BO18" s="100">
        <f t="shared" si="28"/>
        <v>-122</v>
      </c>
      <c r="BP18" s="100">
        <f t="shared" si="29"/>
        <v>1457</v>
      </c>
      <c r="BQ18" s="100">
        <f t="shared" si="30"/>
        <v>389</v>
      </c>
      <c r="BR18" s="100">
        <f t="shared" si="31"/>
        <v>490</v>
      </c>
      <c r="BS18" s="100">
        <f t="shared" si="31"/>
        <v>788</v>
      </c>
      <c r="BT18" s="200">
        <f t="shared" si="31"/>
        <v>370</v>
      </c>
      <c r="BU18" s="165">
        <f>126+3372</f>
        <v>3498</v>
      </c>
      <c r="BV18" s="100">
        <v>3477</v>
      </c>
      <c r="BW18" s="100">
        <v>3692</v>
      </c>
      <c r="BX18" s="100">
        <v>3737</v>
      </c>
      <c r="BY18" s="100">
        <f>109+3327</f>
        <v>3436</v>
      </c>
      <c r="BZ18" s="100">
        <v>2463</v>
      </c>
      <c r="CA18" s="100">
        <v>2942</v>
      </c>
      <c r="CB18" s="100">
        <v>2949</v>
      </c>
      <c r="CC18" s="100">
        <v>2942</v>
      </c>
      <c r="CD18" s="100">
        <v>2798</v>
      </c>
      <c r="CE18" s="100">
        <v>2872</v>
      </c>
      <c r="CF18" s="200"/>
      <c r="CG18" s="165">
        <f t="shared" si="32"/>
        <v>2707</v>
      </c>
      <c r="CH18" s="100">
        <f t="shared" si="33"/>
        <v>2823</v>
      </c>
      <c r="CI18" s="100">
        <f t="shared" si="34"/>
        <v>3313</v>
      </c>
      <c r="CJ18" s="100">
        <f t="shared" si="35"/>
        <v>12</v>
      </c>
      <c r="CK18" s="100">
        <f t="shared" si="36"/>
        <v>-5432</v>
      </c>
      <c r="CL18" s="100">
        <f t="shared" si="37"/>
        <v>1369</v>
      </c>
      <c r="CM18" s="100">
        <f t="shared" si="38"/>
        <v>3064</v>
      </c>
      <c r="CN18" s="100">
        <f t="shared" si="39"/>
        <v>1492</v>
      </c>
      <c r="CO18" s="100">
        <f t="shared" si="40"/>
        <v>2553</v>
      </c>
      <c r="CP18" s="100">
        <f t="shared" si="41"/>
        <v>2308</v>
      </c>
      <c r="CQ18" s="100">
        <f t="shared" si="42"/>
        <v>2084</v>
      </c>
      <c r="CR18" s="200">
        <f t="shared" si="43"/>
        <v>-370</v>
      </c>
    </row>
    <row r="19" spans="1:96" x14ac:dyDescent="0.25">
      <c r="A19" s="49"/>
      <c r="B19" s="96" t="s">
        <v>36</v>
      </c>
      <c r="C19" s="135">
        <f>C26+C33+C40-80</f>
        <v>737</v>
      </c>
      <c r="D19" s="45">
        <f>D26+D33+D40-87</f>
        <v>815</v>
      </c>
      <c r="E19" s="45">
        <f>E26+E33+E40-125</f>
        <v>854</v>
      </c>
      <c r="F19" s="45">
        <f>F26+F33+F40-114</f>
        <v>899</v>
      </c>
      <c r="G19" s="45">
        <f>G26+G33+G40-133</f>
        <v>860</v>
      </c>
      <c r="H19" s="45">
        <f>H26+H33+H40-158</f>
        <v>909</v>
      </c>
      <c r="I19" s="45">
        <f>I26+I33+I40-171</f>
        <v>824</v>
      </c>
      <c r="J19" s="45">
        <f>J26+J33+J40-134</f>
        <v>667</v>
      </c>
      <c r="K19" s="45">
        <f>K26+K33+K40-138</f>
        <v>737</v>
      </c>
      <c r="L19" s="136">
        <f>L26+L33+L40-132</f>
        <v>703</v>
      </c>
      <c r="M19" s="135">
        <f>M26+M33+M40-118</f>
        <v>762</v>
      </c>
      <c r="N19" s="45">
        <f>N26+N33+N40-78</f>
        <v>852</v>
      </c>
      <c r="O19" s="45">
        <f>O26+O33+O40-101</f>
        <v>815</v>
      </c>
      <c r="P19" s="45">
        <f>P26+P33+P40-158</f>
        <v>1186</v>
      </c>
      <c r="Q19" s="45">
        <f>Q26+Q33+Q40-228</f>
        <v>1439</v>
      </c>
      <c r="R19" s="45">
        <f>R26+R33+R40-245</f>
        <v>1081</v>
      </c>
      <c r="S19" s="45">
        <f>S26+S33+S40-252</f>
        <v>928</v>
      </c>
      <c r="T19" s="45">
        <f>T26+T33+T40-222</f>
        <v>917</v>
      </c>
      <c r="U19" s="45">
        <f>SUM(U26+U33+U40-196)</f>
        <v>873</v>
      </c>
      <c r="V19" s="45">
        <f>SUM(V26+V33+V40-194)</f>
        <v>907</v>
      </c>
      <c r="W19" s="45">
        <f>SUM(W26+W33+W40-203)</f>
        <v>1079</v>
      </c>
      <c r="X19" s="136">
        <f>SUM(X26+X33+X40-206)</f>
        <v>1077</v>
      </c>
      <c r="Y19" s="45">
        <f>SUM(Y26+Y33+Y40-194)</f>
        <v>1077</v>
      </c>
      <c r="Z19" s="45">
        <f>SUM(Z26+Z33+Z40-167)</f>
        <v>1228</v>
      </c>
      <c r="AA19" s="45">
        <f>SUM(AA26+AA33+AA40-139)</f>
        <v>909</v>
      </c>
      <c r="AB19" s="45">
        <f>SUM(AB26+AB33+AB40-158)</f>
        <v>907</v>
      </c>
      <c r="AC19" s="45">
        <f>SUM(AC26+AC33+AC40-158)</f>
        <v>674</v>
      </c>
      <c r="AD19" s="45">
        <f>AD26+AD33+AD40</f>
        <v>901</v>
      </c>
      <c r="AE19" s="45">
        <v>765</v>
      </c>
      <c r="AF19" s="45">
        <v>444</v>
      </c>
      <c r="AG19" s="45">
        <v>413</v>
      </c>
      <c r="AH19" s="45">
        <v>375</v>
      </c>
      <c r="AI19" s="45">
        <v>374</v>
      </c>
      <c r="AJ19" s="45">
        <v>371</v>
      </c>
      <c r="AK19" s="135">
        <v>362</v>
      </c>
      <c r="AL19" s="45">
        <f>282+47+4+4</f>
        <v>337</v>
      </c>
      <c r="AM19" s="45">
        <v>400</v>
      </c>
      <c r="AN19" s="45"/>
      <c r="AO19" s="45"/>
      <c r="AP19" s="45">
        <f>453+88+4+3</f>
        <v>548</v>
      </c>
      <c r="AQ19" s="45">
        <f>601+125+74+17</f>
        <v>817</v>
      </c>
      <c r="AR19" s="45">
        <f>631+128+4+10</f>
        <v>773</v>
      </c>
      <c r="AS19" s="45">
        <f>368+68+3+6</f>
        <v>445</v>
      </c>
      <c r="AT19" s="45">
        <f>326+63+2+5</f>
        <v>396</v>
      </c>
      <c r="AU19" s="45">
        <f>317+64+2+5</f>
        <v>388</v>
      </c>
      <c r="AV19" s="45">
        <f>315+63+2+3</f>
        <v>383</v>
      </c>
      <c r="AW19" s="165">
        <f>286+72+1+3</f>
        <v>362</v>
      </c>
      <c r="AX19" s="100">
        <f>304+80+3</f>
        <v>387</v>
      </c>
      <c r="AY19" s="100">
        <f>279+65+41+8</f>
        <v>393</v>
      </c>
      <c r="AZ19" s="100">
        <f>SUM(223+57+29+7)</f>
        <v>316</v>
      </c>
      <c r="BA19" s="192">
        <f>SUM(267+56+39+3)</f>
        <v>365</v>
      </c>
      <c r="BB19" s="100">
        <v>682</v>
      </c>
      <c r="BC19" s="100">
        <f>416+94+97+16</f>
        <v>623</v>
      </c>
      <c r="BD19" s="100">
        <f>(643+147+95+18)</f>
        <v>903</v>
      </c>
      <c r="BE19" s="100">
        <f>199+63+7+2</f>
        <v>271</v>
      </c>
      <c r="BF19" s="100">
        <f>167+39+6</f>
        <v>212</v>
      </c>
      <c r="BG19" s="100">
        <f>176+1+32+40+4</f>
        <v>253</v>
      </c>
      <c r="BH19" s="100">
        <v>209</v>
      </c>
      <c r="BI19" s="165">
        <f t="shared" si="25"/>
        <v>0</v>
      </c>
      <c r="BJ19" s="100">
        <f t="shared" si="26"/>
        <v>50</v>
      </c>
      <c r="BK19" s="100">
        <f t="shared" si="27"/>
        <v>-7</v>
      </c>
      <c r="BL19" s="100">
        <f t="shared" si="28"/>
        <v>316</v>
      </c>
      <c r="BM19" s="100">
        <f t="shared" si="28"/>
        <v>365</v>
      </c>
      <c r="BN19" s="100">
        <f t="shared" si="28"/>
        <v>134</v>
      </c>
      <c r="BO19" s="100">
        <f t="shared" si="28"/>
        <v>-194</v>
      </c>
      <c r="BP19" s="100">
        <f t="shared" si="29"/>
        <v>130</v>
      </c>
      <c r="BQ19" s="100">
        <f t="shared" si="30"/>
        <v>-174</v>
      </c>
      <c r="BR19" s="100">
        <f t="shared" si="31"/>
        <v>-184</v>
      </c>
      <c r="BS19" s="100">
        <f t="shared" si="31"/>
        <v>-135</v>
      </c>
      <c r="BT19" s="200">
        <f t="shared" si="31"/>
        <v>-174</v>
      </c>
      <c r="BU19" s="165">
        <f>154+34+17+1</f>
        <v>206</v>
      </c>
      <c r="BV19" s="100">
        <v>237</v>
      </c>
      <c r="BW19" s="100">
        <v>206</v>
      </c>
      <c r="BX19" s="100">
        <v>222</v>
      </c>
      <c r="BY19" s="100">
        <f>172+32+6</f>
        <v>210</v>
      </c>
      <c r="BZ19" s="100">
        <v>274</v>
      </c>
      <c r="CA19" s="100">
        <v>251</v>
      </c>
      <c r="CB19" s="100">
        <v>249</v>
      </c>
      <c r="CC19" s="100">
        <v>249</v>
      </c>
      <c r="CD19" s="100">
        <v>220</v>
      </c>
      <c r="CE19" s="100">
        <v>287</v>
      </c>
      <c r="CF19" s="200"/>
      <c r="CG19" s="165">
        <f t="shared" si="32"/>
        <v>206</v>
      </c>
      <c r="CH19" s="100">
        <f t="shared" si="33"/>
        <v>187</v>
      </c>
      <c r="CI19" s="100">
        <f t="shared" si="34"/>
        <v>213</v>
      </c>
      <c r="CJ19" s="100">
        <f t="shared" si="35"/>
        <v>-94</v>
      </c>
      <c r="CK19" s="100">
        <f t="shared" si="36"/>
        <v>-155</v>
      </c>
      <c r="CL19" s="100">
        <f t="shared" si="37"/>
        <v>140</v>
      </c>
      <c r="CM19" s="100">
        <f t="shared" si="38"/>
        <v>445</v>
      </c>
      <c r="CN19" s="100">
        <f t="shared" si="39"/>
        <v>119</v>
      </c>
      <c r="CO19" s="100">
        <f t="shared" si="40"/>
        <v>423</v>
      </c>
      <c r="CP19" s="100">
        <f t="shared" si="41"/>
        <v>404</v>
      </c>
      <c r="CQ19" s="100">
        <f t="shared" si="42"/>
        <v>422</v>
      </c>
      <c r="CR19" s="200">
        <f t="shared" si="43"/>
        <v>174</v>
      </c>
    </row>
    <row r="20" spans="1:96" x14ac:dyDescent="0.25">
      <c r="A20" s="49"/>
      <c r="B20" s="96" t="s">
        <v>37</v>
      </c>
      <c r="C20" s="135">
        <f>C27+C34+C41-3</f>
        <v>74</v>
      </c>
      <c r="D20" s="45">
        <f>D27+D34+D41-4</f>
        <v>81</v>
      </c>
      <c r="E20" s="45">
        <f>E27+E34+E41-4</f>
        <v>84</v>
      </c>
      <c r="F20" s="45">
        <f>F27+F34+F41-5</f>
        <v>91</v>
      </c>
      <c r="G20" s="45">
        <f>G27+G34+G41-7</f>
        <v>75</v>
      </c>
      <c r="H20" s="45">
        <f>H27+H34+H41-12</f>
        <v>88</v>
      </c>
      <c r="I20" s="45">
        <f>I27+I34+I41-12</f>
        <v>77</v>
      </c>
      <c r="J20" s="45">
        <f>J27+J34+J41-12</f>
        <v>53</v>
      </c>
      <c r="K20" s="45">
        <f>K27+K34+K41-11</f>
        <v>73</v>
      </c>
      <c r="L20" s="136">
        <f>L27+L34+L41-6</f>
        <v>61</v>
      </c>
      <c r="M20" s="135">
        <f>M27+M34+M41-5</f>
        <v>62</v>
      </c>
      <c r="N20" s="45">
        <f>N27+N34+N41-3</f>
        <v>73</v>
      </c>
      <c r="O20" s="45">
        <f>O27+O34+O41-2</f>
        <v>91</v>
      </c>
      <c r="P20" s="45">
        <f>P27+P34+P41-16</f>
        <v>156</v>
      </c>
      <c r="Q20" s="45">
        <f>Q27+Q34+Q41-28</f>
        <v>170</v>
      </c>
      <c r="R20" s="45">
        <f>R27+R34+R41-28</f>
        <v>150</v>
      </c>
      <c r="S20" s="45">
        <f>S27+S34+S41-28</f>
        <v>129</v>
      </c>
      <c r="T20" s="45">
        <f>T27+T34+T41-29</f>
        <v>117</v>
      </c>
      <c r="U20" s="45">
        <f>SUM(U27+U34+U41-30)</f>
        <v>101</v>
      </c>
      <c r="V20" s="45">
        <f>SUM(V27+V34+V41-26)</f>
        <v>100</v>
      </c>
      <c r="W20" s="45">
        <f>SUM(W27+W34+W41-20)</f>
        <v>123</v>
      </c>
      <c r="X20" s="136">
        <f>SUM(X27+X34+X41-15)</f>
        <v>139</v>
      </c>
      <c r="Y20" s="45">
        <f>SUM(Y27+Y34+Y41-16)</f>
        <v>139</v>
      </c>
      <c r="Z20" s="45">
        <f>SUM(Z27+Z34+Z41-17)</f>
        <v>189</v>
      </c>
      <c r="AA20" s="45">
        <f>SUM(AA27+AA34+AA41-10)</f>
        <v>101</v>
      </c>
      <c r="AB20" s="45">
        <f>SUM(AB27+AB34+AB41-11)</f>
        <v>98</v>
      </c>
      <c r="AC20" s="45">
        <f>SUM(AC27+AC34+AC41-11)</f>
        <v>77</v>
      </c>
      <c r="AD20" s="45">
        <f>AD27+AD34+AD41</f>
        <v>127</v>
      </c>
      <c r="AE20" s="45">
        <v>74</v>
      </c>
      <c r="AF20" s="45">
        <v>42</v>
      </c>
      <c r="AG20" s="45">
        <v>36</v>
      </c>
      <c r="AH20" s="45">
        <v>39</v>
      </c>
      <c r="AI20" s="45">
        <v>34</v>
      </c>
      <c r="AJ20" s="45">
        <v>28</v>
      </c>
      <c r="AK20" s="135">
        <v>24</v>
      </c>
      <c r="AL20" s="45">
        <v>21</v>
      </c>
      <c r="AM20" s="45">
        <v>35</v>
      </c>
      <c r="AN20" s="45"/>
      <c r="AO20" s="45"/>
      <c r="AP20" s="45">
        <f>20+10+7+8</f>
        <v>45</v>
      </c>
      <c r="AQ20" s="45">
        <f>35+18+53+16</f>
        <v>122</v>
      </c>
      <c r="AR20" s="45">
        <f>31+22+26+12</f>
        <v>91</v>
      </c>
      <c r="AS20" s="45">
        <f>21+12+12+8</f>
        <v>53</v>
      </c>
      <c r="AT20" s="45">
        <f>16+7+12+4</f>
        <v>39</v>
      </c>
      <c r="AU20" s="45">
        <f>12+6+6+4</f>
        <v>28</v>
      </c>
      <c r="AV20" s="45">
        <f>14+7+7+5</f>
        <v>33</v>
      </c>
      <c r="AW20" s="165">
        <f>9+8+6+7</f>
        <v>30</v>
      </c>
      <c r="AX20" s="100">
        <f>9+9+8+5</f>
        <v>31</v>
      </c>
      <c r="AY20" s="100">
        <f>10+9+28+8</f>
        <v>55</v>
      </c>
      <c r="AZ20" s="100">
        <f>SUM(12+9+15+6)</f>
        <v>42</v>
      </c>
      <c r="BA20" s="192">
        <f>SUM(9+8+16+7)</f>
        <v>40</v>
      </c>
      <c r="BB20" s="100">
        <v>83</v>
      </c>
      <c r="BC20" s="100">
        <f>28+18+58+15</f>
        <v>119</v>
      </c>
      <c r="BD20" s="100">
        <f>(23+20+56+12)</f>
        <v>111</v>
      </c>
      <c r="BE20" s="100">
        <f>9+4+12+3</f>
        <v>28</v>
      </c>
      <c r="BF20" s="100">
        <f>8+4+4+4</f>
        <v>20</v>
      </c>
      <c r="BG20" s="100">
        <f>6+7+10+3</f>
        <v>26</v>
      </c>
      <c r="BH20" s="100">
        <v>23</v>
      </c>
      <c r="BI20" s="165">
        <f t="shared" si="25"/>
        <v>6</v>
      </c>
      <c r="BJ20" s="100">
        <f t="shared" si="26"/>
        <v>10</v>
      </c>
      <c r="BK20" s="100">
        <f t="shared" si="27"/>
        <v>20</v>
      </c>
      <c r="BL20" s="100">
        <f t="shared" si="28"/>
        <v>42</v>
      </c>
      <c r="BM20" s="100">
        <f t="shared" si="28"/>
        <v>40</v>
      </c>
      <c r="BN20" s="100">
        <f t="shared" si="28"/>
        <v>38</v>
      </c>
      <c r="BO20" s="100">
        <f t="shared" si="28"/>
        <v>-3</v>
      </c>
      <c r="BP20" s="100">
        <f t="shared" si="29"/>
        <v>20</v>
      </c>
      <c r="BQ20" s="100">
        <f t="shared" si="30"/>
        <v>-25</v>
      </c>
      <c r="BR20" s="100">
        <f t="shared" si="31"/>
        <v>-19</v>
      </c>
      <c r="BS20" s="100">
        <f t="shared" si="31"/>
        <v>-2</v>
      </c>
      <c r="BT20" s="200">
        <f t="shared" si="31"/>
        <v>-10</v>
      </c>
      <c r="BU20" s="165">
        <f>8+2+9+3</f>
        <v>22</v>
      </c>
      <c r="BV20" s="100">
        <v>21</v>
      </c>
      <c r="BW20" s="100">
        <v>41</v>
      </c>
      <c r="BX20" s="100">
        <v>16</v>
      </c>
      <c r="BY20" s="100">
        <f>6+2+1+2</f>
        <v>11</v>
      </c>
      <c r="BZ20" s="100">
        <v>43</v>
      </c>
      <c r="CA20" s="100">
        <v>20</v>
      </c>
      <c r="CB20" s="100">
        <v>25</v>
      </c>
      <c r="CC20" s="100">
        <v>25</v>
      </c>
      <c r="CD20" s="100">
        <v>24</v>
      </c>
      <c r="CE20" s="100">
        <v>52</v>
      </c>
      <c r="CF20" s="200"/>
      <c r="CG20" s="165">
        <f t="shared" si="32"/>
        <v>16</v>
      </c>
      <c r="CH20" s="100">
        <f t="shared" si="33"/>
        <v>11</v>
      </c>
      <c r="CI20" s="100">
        <f t="shared" si="34"/>
        <v>21</v>
      </c>
      <c r="CJ20" s="100">
        <f t="shared" si="35"/>
        <v>-26</v>
      </c>
      <c r="CK20" s="100">
        <f t="shared" si="36"/>
        <v>-29</v>
      </c>
      <c r="CL20" s="100">
        <f t="shared" si="37"/>
        <v>5</v>
      </c>
      <c r="CM20" s="100">
        <f t="shared" si="38"/>
        <v>23</v>
      </c>
      <c r="CN20" s="100">
        <f t="shared" si="39"/>
        <v>5</v>
      </c>
      <c r="CO20" s="100">
        <f t="shared" si="40"/>
        <v>50</v>
      </c>
      <c r="CP20" s="100">
        <f t="shared" si="41"/>
        <v>43</v>
      </c>
      <c r="CQ20" s="100">
        <f t="shared" si="42"/>
        <v>54</v>
      </c>
      <c r="CR20" s="200">
        <f t="shared" si="43"/>
        <v>10</v>
      </c>
    </row>
    <row r="21" spans="1:96" x14ac:dyDescent="0.25">
      <c r="A21" s="49"/>
      <c r="B21" s="96" t="s">
        <v>38</v>
      </c>
      <c r="C21" s="135">
        <f t="shared" ref="C21:L21" si="44">C28+C35+C42-0</f>
        <v>0</v>
      </c>
      <c r="D21" s="45">
        <f t="shared" si="44"/>
        <v>2</v>
      </c>
      <c r="E21" s="45">
        <f t="shared" si="44"/>
        <v>1</v>
      </c>
      <c r="F21" s="45">
        <f t="shared" si="44"/>
        <v>3</v>
      </c>
      <c r="G21" s="45">
        <f t="shared" si="44"/>
        <v>1</v>
      </c>
      <c r="H21" s="45">
        <f t="shared" si="44"/>
        <v>2</v>
      </c>
      <c r="I21" s="45">
        <f t="shared" si="44"/>
        <v>2</v>
      </c>
      <c r="J21" s="45">
        <f t="shared" si="44"/>
        <v>1</v>
      </c>
      <c r="K21" s="45">
        <f t="shared" si="44"/>
        <v>3</v>
      </c>
      <c r="L21" s="136">
        <f t="shared" si="44"/>
        <v>2</v>
      </c>
      <c r="M21" s="135">
        <f>M28+M35+M42-1</f>
        <v>2</v>
      </c>
      <c r="N21" s="45">
        <f>N28+N35+N42-1</f>
        <v>2</v>
      </c>
      <c r="O21" s="45">
        <f>O28+O35+O42-0</f>
        <v>0</v>
      </c>
      <c r="P21" s="45">
        <f>P28+P35+P42-0</f>
        <v>4</v>
      </c>
      <c r="Q21" s="45">
        <f>Q28+Q35+Q42-0</f>
        <v>9</v>
      </c>
      <c r="R21" s="45">
        <f>R28+R35+R42-2</f>
        <v>10</v>
      </c>
      <c r="S21" s="45">
        <f>S28+S35+S42-1</f>
        <v>5</v>
      </c>
      <c r="T21" s="45">
        <f>T28+T35+T42-0</f>
        <v>7</v>
      </c>
      <c r="U21" s="45">
        <f>SUM(U28+U35+U42-1)</f>
        <v>5</v>
      </c>
      <c r="V21" s="45">
        <f>SUM(V28+V35+V42-1)</f>
        <v>2</v>
      </c>
      <c r="W21" s="45">
        <f>SUM(W28+W35+W42-0)</f>
        <v>5</v>
      </c>
      <c r="X21" s="136">
        <f>SUM(X28+X35+X42-0)</f>
        <v>4</v>
      </c>
      <c r="Y21" s="45">
        <f>SUM(Y28+Y35+Y42-0)</f>
        <v>3</v>
      </c>
      <c r="Z21" s="45">
        <f>SUM(Z28+Z35+Z42-0)</f>
        <v>5</v>
      </c>
      <c r="AA21" s="45">
        <f>SUM(AA28+AA35+AA42)</f>
        <v>1</v>
      </c>
      <c r="AB21" s="45">
        <f>SUM(AB28+AB35+AB42-0)</f>
        <v>3</v>
      </c>
      <c r="AC21" s="45">
        <f>SUM(AC28+AC35+AC42-0)</f>
        <v>2</v>
      </c>
      <c r="AD21" s="45">
        <f>AD28+AD35+AD42</f>
        <v>2</v>
      </c>
      <c r="AE21" s="45">
        <v>4</v>
      </c>
      <c r="AF21" s="45">
        <v>3</v>
      </c>
      <c r="AG21" s="45">
        <v>2</v>
      </c>
      <c r="AH21" s="45">
        <v>1</v>
      </c>
      <c r="AI21" s="45">
        <v>2</v>
      </c>
      <c r="AJ21" s="45">
        <v>2</v>
      </c>
      <c r="AK21" s="135">
        <v>1</v>
      </c>
      <c r="AL21" s="45">
        <v>1</v>
      </c>
      <c r="AM21" s="45">
        <v>2</v>
      </c>
      <c r="AN21" s="45"/>
      <c r="AO21" s="45"/>
      <c r="AP21" s="45">
        <v>0</v>
      </c>
      <c r="AQ21" s="45">
        <v>0</v>
      </c>
      <c r="AR21" s="45">
        <v>1</v>
      </c>
      <c r="AS21" s="45">
        <v>0</v>
      </c>
      <c r="AT21" s="45">
        <v>0</v>
      </c>
      <c r="AU21" s="45">
        <v>0</v>
      </c>
      <c r="AV21" s="45">
        <v>1</v>
      </c>
      <c r="AW21" s="165">
        <f>1</f>
        <v>1</v>
      </c>
      <c r="AX21" s="101">
        <v>1</v>
      </c>
      <c r="AY21" s="100">
        <f>1</f>
        <v>1</v>
      </c>
      <c r="AZ21" s="100">
        <f>SUM(1+1)</f>
        <v>2</v>
      </c>
      <c r="BA21" s="192">
        <f>SUM(1+1)</f>
        <v>2</v>
      </c>
      <c r="BB21" s="100">
        <v>2</v>
      </c>
      <c r="BC21" s="100">
        <f>1+1</f>
        <v>2</v>
      </c>
      <c r="BD21" s="100">
        <f>(1+1)</f>
        <v>2</v>
      </c>
      <c r="BE21" s="100">
        <f>0</f>
        <v>0</v>
      </c>
      <c r="BF21" s="100">
        <f>1</f>
        <v>1</v>
      </c>
      <c r="BG21" s="100">
        <v>1</v>
      </c>
      <c r="BH21" s="100">
        <v>1</v>
      </c>
      <c r="BI21" s="165">
        <f t="shared" si="25"/>
        <v>0</v>
      </c>
      <c r="BJ21" s="101">
        <f t="shared" si="26"/>
        <v>0</v>
      </c>
      <c r="BK21" s="100">
        <f t="shared" si="27"/>
        <v>-1</v>
      </c>
      <c r="BL21" s="100">
        <f t="shared" si="28"/>
        <v>2</v>
      </c>
      <c r="BM21" s="100">
        <f t="shared" si="28"/>
        <v>2</v>
      </c>
      <c r="BN21" s="100">
        <f t="shared" si="28"/>
        <v>2</v>
      </c>
      <c r="BO21" s="100">
        <f t="shared" si="28"/>
        <v>2</v>
      </c>
      <c r="BP21" s="100">
        <f t="shared" si="29"/>
        <v>1</v>
      </c>
      <c r="BQ21" s="100">
        <f t="shared" si="30"/>
        <v>0</v>
      </c>
      <c r="BR21" s="100">
        <f t="shared" si="31"/>
        <v>1</v>
      </c>
      <c r="BS21" s="100">
        <f t="shared" si="31"/>
        <v>1</v>
      </c>
      <c r="BT21" s="200">
        <f t="shared" si="31"/>
        <v>0</v>
      </c>
      <c r="BU21" s="165">
        <v>1</v>
      </c>
      <c r="BV21" s="101">
        <v>1</v>
      </c>
      <c r="BW21" s="101">
        <v>9</v>
      </c>
      <c r="BX21" s="101">
        <v>0</v>
      </c>
      <c r="BY21" s="101">
        <v>1</v>
      </c>
      <c r="BZ21" s="100">
        <v>1</v>
      </c>
      <c r="CA21" s="100">
        <v>0</v>
      </c>
      <c r="CB21" s="100">
        <v>2</v>
      </c>
      <c r="CC21" s="100">
        <v>2</v>
      </c>
      <c r="CD21" s="100">
        <v>0</v>
      </c>
      <c r="CE21" s="100">
        <v>1</v>
      </c>
      <c r="CF21" s="200"/>
      <c r="CG21" s="165">
        <f t="shared" si="32"/>
        <v>1</v>
      </c>
      <c r="CH21" s="101">
        <f t="shared" si="33"/>
        <v>1</v>
      </c>
      <c r="CI21" s="100">
        <f t="shared" si="34"/>
        <v>10</v>
      </c>
      <c r="CJ21" s="100">
        <f t="shared" si="35"/>
        <v>-2</v>
      </c>
      <c r="CK21" s="100">
        <f t="shared" si="36"/>
        <v>-1</v>
      </c>
      <c r="CL21" s="100">
        <f t="shared" si="37"/>
        <v>-1</v>
      </c>
      <c r="CM21" s="100">
        <f t="shared" si="38"/>
        <v>-2</v>
      </c>
      <c r="CN21" s="100">
        <f t="shared" si="39"/>
        <v>1</v>
      </c>
      <c r="CO21" s="100">
        <f t="shared" si="40"/>
        <v>2</v>
      </c>
      <c r="CP21" s="100">
        <f t="shared" si="41"/>
        <v>-1</v>
      </c>
      <c r="CQ21" s="100">
        <f t="shared" si="42"/>
        <v>0</v>
      </c>
      <c r="CR21" s="200">
        <f t="shared" si="43"/>
        <v>0</v>
      </c>
    </row>
    <row r="22" spans="1:96" x14ac:dyDescent="0.25">
      <c r="B22" s="96" t="s">
        <v>39</v>
      </c>
      <c r="C22" s="135">
        <f t="shared" ref="C22:U22" si="45">SUM(C17:C21)</f>
        <v>25569</v>
      </c>
      <c r="D22" s="45">
        <f t="shared" si="45"/>
        <v>26227</v>
      </c>
      <c r="E22" s="45">
        <f t="shared" si="45"/>
        <v>26523</v>
      </c>
      <c r="F22" s="45">
        <f t="shared" si="45"/>
        <v>30031</v>
      </c>
      <c r="G22" s="45">
        <f t="shared" si="45"/>
        <v>30447</v>
      </c>
      <c r="H22" s="45">
        <f t="shared" si="45"/>
        <v>30150</v>
      </c>
      <c r="I22" s="45">
        <f t="shared" si="45"/>
        <v>29508</v>
      </c>
      <c r="J22" s="45">
        <f t="shared" si="45"/>
        <v>28090</v>
      </c>
      <c r="K22" s="45">
        <f t="shared" si="45"/>
        <v>28193</v>
      </c>
      <c r="L22" s="136">
        <f t="shared" si="45"/>
        <v>26326</v>
      </c>
      <c r="M22" s="135">
        <f t="shared" si="45"/>
        <v>24395</v>
      </c>
      <c r="N22" s="45">
        <f t="shared" si="45"/>
        <v>25039</v>
      </c>
      <c r="O22" s="45">
        <f t="shared" si="45"/>
        <v>26560</v>
      </c>
      <c r="P22" s="45">
        <f t="shared" si="45"/>
        <v>28531</v>
      </c>
      <c r="Q22" s="45">
        <f t="shared" si="45"/>
        <v>30031</v>
      </c>
      <c r="R22" s="45">
        <f t="shared" si="45"/>
        <v>29061</v>
      </c>
      <c r="S22" s="45">
        <f t="shared" si="45"/>
        <v>29248</v>
      </c>
      <c r="T22" s="45">
        <f t="shared" si="45"/>
        <v>29956</v>
      </c>
      <c r="U22" s="45">
        <f t="shared" si="45"/>
        <v>30729</v>
      </c>
      <c r="V22" s="45">
        <f t="shared" ref="V22:AC22" si="46">SUM(V17:V21)</f>
        <v>29854</v>
      </c>
      <c r="W22" s="45">
        <f t="shared" si="46"/>
        <v>32259</v>
      </c>
      <c r="X22" s="136">
        <f t="shared" si="46"/>
        <v>32206</v>
      </c>
      <c r="Y22" s="45">
        <f t="shared" si="46"/>
        <v>32176</v>
      </c>
      <c r="Z22" s="45">
        <f t="shared" si="46"/>
        <v>34489</v>
      </c>
      <c r="AA22" s="45">
        <f t="shared" si="46"/>
        <v>31817</v>
      </c>
      <c r="AB22" s="45">
        <f t="shared" si="46"/>
        <v>31309</v>
      </c>
      <c r="AC22" s="45">
        <f t="shared" si="46"/>
        <v>22469</v>
      </c>
      <c r="AD22" s="45">
        <f t="shared" ref="AD22:AI22" si="47">SUM(AD17:AD21)</f>
        <v>30984</v>
      </c>
      <c r="AE22" s="45">
        <f t="shared" si="47"/>
        <v>20588</v>
      </c>
      <c r="AF22" s="45">
        <f t="shared" si="47"/>
        <v>14659</v>
      </c>
      <c r="AG22" s="45">
        <f t="shared" si="47"/>
        <v>14107</v>
      </c>
      <c r="AH22" s="45">
        <f t="shared" si="47"/>
        <v>13770</v>
      </c>
      <c r="AI22" s="45">
        <f t="shared" si="47"/>
        <v>11647</v>
      </c>
      <c r="AJ22" s="45">
        <f>SUM(AJ17:AJ21)</f>
        <v>12128</v>
      </c>
      <c r="AK22" s="135">
        <f>SUM(AK17:AK21)</f>
        <v>11617</v>
      </c>
      <c r="AL22" s="45">
        <f>SUM(AL17:AL21)</f>
        <v>11217</v>
      </c>
      <c r="AM22" s="45">
        <f>SUM(AM17:AM21)</f>
        <v>12808</v>
      </c>
      <c r="AN22" s="45"/>
      <c r="AO22" s="45"/>
      <c r="AP22" s="45">
        <f t="shared" ref="AP22:AU22" si="48">SUM(AP17:AP21)</f>
        <v>18526</v>
      </c>
      <c r="AQ22" s="45">
        <f t="shared" si="48"/>
        <v>22126</v>
      </c>
      <c r="AR22" s="45">
        <f t="shared" si="48"/>
        <v>22913</v>
      </c>
      <c r="AS22" s="45">
        <f t="shared" si="48"/>
        <v>12952</v>
      </c>
      <c r="AT22" s="45">
        <f t="shared" si="48"/>
        <v>12026</v>
      </c>
      <c r="AU22" s="45">
        <f t="shared" si="48"/>
        <v>11636</v>
      </c>
      <c r="AV22" s="45">
        <f t="shared" ref="AV22:BB22" si="49">SUM(AV17:AV21)</f>
        <v>11891</v>
      </c>
      <c r="AW22" s="165">
        <f t="shared" si="49"/>
        <v>11449</v>
      </c>
      <c r="AX22" s="100">
        <f t="shared" si="49"/>
        <v>11733</v>
      </c>
      <c r="AY22" s="101">
        <f t="shared" si="49"/>
        <v>12189</v>
      </c>
      <c r="AZ22" s="100">
        <f t="shared" si="49"/>
        <v>12949</v>
      </c>
      <c r="BA22" s="100">
        <f t="shared" si="49"/>
        <v>22173</v>
      </c>
      <c r="BB22" s="100">
        <f t="shared" si="49"/>
        <v>21701</v>
      </c>
      <c r="BC22" s="100">
        <f t="shared" ref="BC22:BH22" si="50">SUM(BC17:BC21)</f>
        <v>16665</v>
      </c>
      <c r="BD22" s="100">
        <f t="shared" si="50"/>
        <v>14355</v>
      </c>
      <c r="BE22" s="100">
        <f t="shared" si="50"/>
        <v>10675</v>
      </c>
      <c r="BF22" s="100">
        <f t="shared" si="50"/>
        <v>10021</v>
      </c>
      <c r="BG22" s="100">
        <f t="shared" si="50"/>
        <v>10964</v>
      </c>
      <c r="BH22" s="100">
        <f t="shared" si="50"/>
        <v>10185</v>
      </c>
      <c r="BI22" s="165">
        <f t="shared" si="25"/>
        <v>-168</v>
      </c>
      <c r="BJ22" s="100">
        <f t="shared" si="26"/>
        <v>516</v>
      </c>
      <c r="BK22" s="101">
        <f t="shared" si="27"/>
        <v>-619</v>
      </c>
      <c r="BL22" s="100">
        <f t="shared" si="28"/>
        <v>12949</v>
      </c>
      <c r="BM22" s="100">
        <f t="shared" si="28"/>
        <v>22173</v>
      </c>
      <c r="BN22" s="100">
        <f t="shared" si="28"/>
        <v>3175</v>
      </c>
      <c r="BO22" s="100">
        <f t="shared" si="28"/>
        <v>-5461</v>
      </c>
      <c r="BP22" s="100">
        <f t="shared" si="29"/>
        <v>-8558</v>
      </c>
      <c r="BQ22" s="100">
        <f t="shared" si="30"/>
        <v>-2277</v>
      </c>
      <c r="BR22" s="100">
        <f t="shared" si="31"/>
        <v>-2005</v>
      </c>
      <c r="BS22" s="100">
        <f t="shared" si="31"/>
        <v>-672</v>
      </c>
      <c r="BT22" s="200">
        <f t="shared" si="31"/>
        <v>-1706</v>
      </c>
      <c r="BU22" s="165">
        <f>SUM(BU17:BU21)</f>
        <v>9556</v>
      </c>
      <c r="BV22" s="100">
        <f t="shared" ref="BV22:CF22" si="51">SUM(BV17:BV21)</f>
        <v>9686</v>
      </c>
      <c r="BW22" s="100">
        <f t="shared" si="51"/>
        <v>9610</v>
      </c>
      <c r="BX22" s="100">
        <f t="shared" si="51"/>
        <v>9394</v>
      </c>
      <c r="BY22" s="100">
        <f t="shared" si="51"/>
        <v>9099</v>
      </c>
      <c r="BZ22" s="100">
        <v>9054</v>
      </c>
      <c r="CA22" s="100">
        <f t="shared" si="51"/>
        <v>9794</v>
      </c>
      <c r="CB22" s="100">
        <f t="shared" si="51"/>
        <v>9865</v>
      </c>
      <c r="CC22" s="100">
        <f t="shared" si="51"/>
        <v>9835</v>
      </c>
      <c r="CD22" s="100">
        <f t="shared" si="51"/>
        <v>9044</v>
      </c>
      <c r="CE22" s="100">
        <f t="shared" si="51"/>
        <v>8884</v>
      </c>
      <c r="CF22" s="200">
        <f t="shared" si="51"/>
        <v>0</v>
      </c>
      <c r="CG22" s="165">
        <f t="shared" si="32"/>
        <v>9724</v>
      </c>
      <c r="CH22" s="100">
        <f t="shared" si="33"/>
        <v>9170</v>
      </c>
      <c r="CI22" s="101">
        <f t="shared" si="34"/>
        <v>10229</v>
      </c>
      <c r="CJ22" s="100">
        <f t="shared" si="35"/>
        <v>-3555</v>
      </c>
      <c r="CK22" s="100">
        <f t="shared" si="36"/>
        <v>-13074</v>
      </c>
      <c r="CL22" s="100">
        <f t="shared" si="37"/>
        <v>5879</v>
      </c>
      <c r="CM22" s="100">
        <f t="shared" si="38"/>
        <v>15255</v>
      </c>
      <c r="CN22" s="100">
        <f t="shared" si="39"/>
        <v>18423</v>
      </c>
      <c r="CO22" s="100">
        <f t="shared" si="40"/>
        <v>12112</v>
      </c>
      <c r="CP22" s="100">
        <f t="shared" si="41"/>
        <v>11049</v>
      </c>
      <c r="CQ22" s="100">
        <f t="shared" si="42"/>
        <v>9556</v>
      </c>
      <c r="CR22" s="200">
        <f t="shared" si="43"/>
        <v>1706</v>
      </c>
    </row>
    <row r="23" spans="1:96" x14ac:dyDescent="0.25">
      <c r="A23" s="49">
        <f>+A16+1</f>
        <v>3</v>
      </c>
      <c r="B23" s="103" t="s">
        <v>20</v>
      </c>
      <c r="C23" s="135"/>
      <c r="D23" s="45"/>
      <c r="E23" s="45"/>
      <c r="F23" s="45"/>
      <c r="G23" s="45"/>
      <c r="H23" s="45"/>
      <c r="I23" s="45"/>
      <c r="J23" s="45"/>
      <c r="K23" s="45"/>
      <c r="L23" s="136"/>
      <c r="M23" s="135"/>
      <c r="N23" s="45"/>
      <c r="O23" s="45"/>
      <c r="P23" s="45"/>
      <c r="Q23" s="45"/>
      <c r="R23" s="45"/>
      <c r="S23" s="45"/>
      <c r="T23" s="45"/>
      <c r="U23" s="45"/>
      <c r="V23" s="45"/>
      <c r="W23" s="45"/>
      <c r="X23" s="136"/>
      <c r="Y23" s="45"/>
      <c r="Z23" s="45"/>
      <c r="AA23" s="45"/>
      <c r="AB23" s="45"/>
      <c r="AC23" s="45"/>
      <c r="AD23" s="45"/>
      <c r="AE23" s="43"/>
      <c r="AF23" s="45"/>
      <c r="AG23" s="45"/>
      <c r="AH23" s="45"/>
      <c r="AI23" s="45"/>
      <c r="AJ23" s="45"/>
      <c r="AK23" s="135"/>
      <c r="AL23" s="45"/>
      <c r="AM23" s="45"/>
      <c r="AN23" s="45"/>
      <c r="AO23" s="45"/>
      <c r="AP23" s="45"/>
      <c r="AQ23" s="45"/>
      <c r="AR23" s="45"/>
      <c r="AS23" s="45"/>
      <c r="AT23" s="45"/>
      <c r="AU23" s="45"/>
      <c r="AV23" s="45"/>
      <c r="AW23" s="165"/>
      <c r="AX23" s="100"/>
      <c r="AY23" s="100"/>
      <c r="AZ23" s="100"/>
      <c r="BA23" s="44"/>
      <c r="BB23" s="44"/>
      <c r="BC23" s="100"/>
      <c r="BD23" s="100"/>
      <c r="BE23" s="100"/>
      <c r="BF23" s="100"/>
      <c r="BG23" s="100"/>
      <c r="BH23" s="97"/>
      <c r="BI23" s="165"/>
      <c r="BJ23" s="100"/>
      <c r="BK23" s="100"/>
      <c r="BL23" s="100"/>
      <c r="BM23" s="100"/>
      <c r="BN23" s="100"/>
      <c r="BO23" s="100"/>
      <c r="BP23" s="100"/>
      <c r="BQ23" s="100"/>
      <c r="BR23" s="100"/>
      <c r="BS23" s="100"/>
      <c r="BT23" s="200"/>
      <c r="BU23" s="165"/>
      <c r="BV23" s="100"/>
      <c r="BW23" s="100"/>
      <c r="BX23" s="100"/>
      <c r="BY23" s="100"/>
      <c r="BZ23" s="44"/>
      <c r="CA23" s="100"/>
      <c r="CB23" s="100"/>
      <c r="CC23" s="100"/>
      <c r="CD23" s="100"/>
      <c r="CE23" s="100"/>
      <c r="CF23" s="97"/>
      <c r="CG23" s="165"/>
      <c r="CH23" s="100"/>
      <c r="CI23" s="100"/>
      <c r="CJ23" s="100"/>
      <c r="CK23" s="100"/>
      <c r="CL23" s="100"/>
      <c r="CM23" s="100"/>
      <c r="CN23" s="100"/>
      <c r="CO23" s="100"/>
      <c r="CP23" s="100"/>
      <c r="CQ23" s="100"/>
      <c r="CR23" s="200"/>
    </row>
    <row r="24" spans="1:96" x14ac:dyDescent="0.25">
      <c r="B24" s="96" t="s">
        <v>34</v>
      </c>
      <c r="C24" s="135">
        <v>11698</v>
      </c>
      <c r="D24" s="45">
        <v>11837</v>
      </c>
      <c r="E24" s="45">
        <v>11854</v>
      </c>
      <c r="F24" s="45">
        <v>12070</v>
      </c>
      <c r="G24" s="45">
        <v>11067</v>
      </c>
      <c r="H24" s="45">
        <v>10946</v>
      </c>
      <c r="I24" s="45">
        <v>10678</v>
      </c>
      <c r="J24" s="45">
        <v>9967</v>
      </c>
      <c r="K24" s="45">
        <v>10296</v>
      </c>
      <c r="L24" s="136">
        <v>10428</v>
      </c>
      <c r="M24" s="135">
        <v>10547</v>
      </c>
      <c r="N24" s="45">
        <v>11393</v>
      </c>
      <c r="O24" s="45">
        <v>12145</v>
      </c>
      <c r="P24" s="45">
        <v>12052</v>
      </c>
      <c r="Q24" s="45">
        <v>12469</v>
      </c>
      <c r="R24" s="45">
        <v>12527</v>
      </c>
      <c r="S24" s="45">
        <v>11678</v>
      </c>
      <c r="T24" s="45">
        <v>11819</v>
      </c>
      <c r="U24" s="45">
        <v>11817</v>
      </c>
      <c r="V24" s="45">
        <v>11182</v>
      </c>
      <c r="W24" s="45">
        <f>12325+58</f>
        <v>12383</v>
      </c>
      <c r="X24" s="136">
        <f>11924+180</f>
        <v>12104</v>
      </c>
      <c r="Y24" s="45">
        <f>11287+204</f>
        <v>11491</v>
      </c>
      <c r="Z24" s="45">
        <f>13807</f>
        <v>13807</v>
      </c>
      <c r="AA24" s="45">
        <f>12356+23</f>
        <v>12379</v>
      </c>
      <c r="AB24" s="45">
        <v>12447</v>
      </c>
      <c r="AC24" s="43">
        <v>10975</v>
      </c>
      <c r="AD24" s="43">
        <f>404+8196+190</f>
        <v>8790</v>
      </c>
      <c r="AE24" s="43">
        <v>9692</v>
      </c>
      <c r="AF24" s="43">
        <v>9428</v>
      </c>
      <c r="AG24" s="43">
        <f>505+9019+43</f>
        <v>9567</v>
      </c>
      <c r="AH24" s="43">
        <v>7751</v>
      </c>
      <c r="AI24" s="43">
        <f>463+7624+12</f>
        <v>8099</v>
      </c>
      <c r="AJ24" s="43">
        <f>509+7944+9</f>
        <v>8462</v>
      </c>
      <c r="AK24" s="143">
        <f>568+7028</f>
        <v>7596</v>
      </c>
      <c r="AL24" s="43">
        <f>417+6799+3</f>
        <v>7219</v>
      </c>
      <c r="AM24" s="43">
        <f>480+8262+32</f>
        <v>8774</v>
      </c>
      <c r="AN24" s="43">
        <f>472+8607+54</f>
        <v>9133</v>
      </c>
      <c r="AO24" s="43">
        <f>501+9725+6</f>
        <v>10232</v>
      </c>
      <c r="AP24" s="43">
        <f>SUM(593+11764)</f>
        <v>12357</v>
      </c>
      <c r="AQ24" s="43">
        <f>SUM(537+9858+2)</f>
        <v>10397</v>
      </c>
      <c r="AR24" s="43">
        <f>216+4848</f>
        <v>5064</v>
      </c>
      <c r="AS24" s="43">
        <f>507+8462+2</f>
        <v>8971</v>
      </c>
      <c r="AT24" s="43">
        <f>448+7310+12</f>
        <v>7770</v>
      </c>
      <c r="AU24" s="43">
        <f>503+7499+9</f>
        <v>8011</v>
      </c>
      <c r="AV24" s="43">
        <f>522+7662+4</f>
        <v>8188</v>
      </c>
      <c r="AW24" s="165">
        <f>488+6766+1</f>
        <v>7255</v>
      </c>
      <c r="AX24" s="100">
        <f>502+7206+2</f>
        <v>7710</v>
      </c>
      <c r="AY24" s="100">
        <f>471+7708+4</f>
        <v>8183</v>
      </c>
      <c r="AZ24" s="100">
        <f>SUM(478+8231+2)</f>
        <v>8711</v>
      </c>
      <c r="BA24" s="192">
        <f>SUM(554+11305+2)</f>
        <v>11861</v>
      </c>
      <c r="BB24" s="192">
        <v>9322</v>
      </c>
      <c r="BC24" s="100">
        <f>417+7520</f>
        <v>7937</v>
      </c>
      <c r="BD24" s="100">
        <f>(439+8046+2)</f>
        <v>8487</v>
      </c>
      <c r="BE24" s="100">
        <f>322+6070+4</f>
        <v>6396</v>
      </c>
      <c r="BF24" s="100">
        <f>310+5170+4</f>
        <v>5484</v>
      </c>
      <c r="BG24" s="100">
        <f>396+5807+3</f>
        <v>6206</v>
      </c>
      <c r="BH24" s="100">
        <v>6042</v>
      </c>
      <c r="BI24" s="165">
        <f t="shared" ref="BI24:BI29" si="52">AW24-AK24</f>
        <v>-341</v>
      </c>
      <c r="BJ24" s="100">
        <f t="shared" ref="BJ24:BJ29" si="53">AX24-AL24</f>
        <v>491</v>
      </c>
      <c r="BK24" s="100">
        <f t="shared" ref="BK24:BK29" si="54">AY24-AM24</f>
        <v>-591</v>
      </c>
      <c r="BL24" s="100">
        <f t="shared" ref="BL24:BO29" si="55">AZ24-AN24</f>
        <v>-422</v>
      </c>
      <c r="BM24" s="100">
        <f t="shared" si="55"/>
        <v>1629</v>
      </c>
      <c r="BN24" s="100">
        <f t="shared" si="55"/>
        <v>-3035</v>
      </c>
      <c r="BO24" s="100">
        <f t="shared" si="55"/>
        <v>-2460</v>
      </c>
      <c r="BP24" s="100">
        <f t="shared" ref="BP24:BP29" si="56">BD24-AR24</f>
        <v>3423</v>
      </c>
      <c r="BQ24" s="100">
        <f t="shared" ref="BQ24:BQ29" si="57">BE24-AS24</f>
        <v>-2575</v>
      </c>
      <c r="BR24" s="100">
        <f t="shared" ref="BR24:BT29" si="58">BF24-AT24</f>
        <v>-2286</v>
      </c>
      <c r="BS24" s="100">
        <f t="shared" si="58"/>
        <v>-1805</v>
      </c>
      <c r="BT24" s="200">
        <f t="shared" si="58"/>
        <v>-2146</v>
      </c>
      <c r="BU24" s="165">
        <f>326+4906</f>
        <v>5232</v>
      </c>
      <c r="BV24" s="100">
        <v>5648</v>
      </c>
      <c r="BW24" s="100">
        <v>5282</v>
      </c>
      <c r="BX24" s="100">
        <v>5084</v>
      </c>
      <c r="BY24" s="100">
        <f>275+4780+1</f>
        <v>5056</v>
      </c>
      <c r="BZ24" s="192">
        <v>5984</v>
      </c>
      <c r="CA24" s="100">
        <v>6102</v>
      </c>
      <c r="CB24" s="100">
        <v>6064</v>
      </c>
      <c r="CC24" s="100">
        <v>5881</v>
      </c>
      <c r="CD24" s="100">
        <v>5219</v>
      </c>
      <c r="CE24" s="100">
        <v>5326</v>
      </c>
      <c r="CF24" s="200"/>
      <c r="CG24" s="165">
        <f t="shared" ref="CG24:CG29" si="59">BU24-BI24</f>
        <v>5573</v>
      </c>
      <c r="CH24" s="100">
        <f t="shared" ref="CH24:CH29" si="60">BV24-BJ24</f>
        <v>5157</v>
      </c>
      <c r="CI24" s="100">
        <f t="shared" ref="CI24:CI29" si="61">BW24-BK24</f>
        <v>5873</v>
      </c>
      <c r="CJ24" s="100">
        <f t="shared" ref="CJ24:CJ29" si="62">BX24-BL24</f>
        <v>5506</v>
      </c>
      <c r="CK24" s="100">
        <f t="shared" ref="CK24:CK29" si="63">BY24-BM24</f>
        <v>3427</v>
      </c>
      <c r="CL24" s="100">
        <f t="shared" ref="CL24:CL29" si="64">BZ24-BN24</f>
        <v>9019</v>
      </c>
      <c r="CM24" s="100">
        <f t="shared" ref="CM24:CM29" si="65">CA24-BO24</f>
        <v>8562</v>
      </c>
      <c r="CN24" s="100">
        <f t="shared" ref="CN24:CN29" si="66">CB24-BP24</f>
        <v>2641</v>
      </c>
      <c r="CO24" s="100">
        <f t="shared" ref="CO24:CO29" si="67">CC24-BQ24</f>
        <v>8456</v>
      </c>
      <c r="CP24" s="100">
        <f t="shared" ref="CP24:CP29" si="68">CD24-BR24</f>
        <v>7505</v>
      </c>
      <c r="CQ24" s="100">
        <f t="shared" ref="CQ24:CQ29" si="69">CE24-BS24</f>
        <v>7131</v>
      </c>
      <c r="CR24" s="200">
        <f t="shared" ref="CR24:CR29" si="70">CF24-BT24</f>
        <v>2146</v>
      </c>
    </row>
    <row r="25" spans="1:96" x14ac:dyDescent="0.25">
      <c r="B25" s="96" t="s">
        <v>35</v>
      </c>
      <c r="C25" s="135">
        <v>3712</v>
      </c>
      <c r="D25" s="45">
        <v>3846</v>
      </c>
      <c r="E25" s="45">
        <v>3523</v>
      </c>
      <c r="F25" s="45">
        <v>5172</v>
      </c>
      <c r="G25" s="45">
        <v>5089</v>
      </c>
      <c r="H25" s="45">
        <v>5050</v>
      </c>
      <c r="I25" s="45">
        <v>5087</v>
      </c>
      <c r="J25" s="45">
        <v>5069</v>
      </c>
      <c r="K25" s="45">
        <v>4965</v>
      </c>
      <c r="L25" s="136">
        <v>4293</v>
      </c>
      <c r="M25" s="135">
        <v>3487</v>
      </c>
      <c r="N25" s="45">
        <v>3131</v>
      </c>
      <c r="O25" s="45">
        <v>3269</v>
      </c>
      <c r="P25" s="45">
        <v>3878</v>
      </c>
      <c r="Q25" s="45">
        <v>3986</v>
      </c>
      <c r="R25" s="45">
        <v>4091</v>
      </c>
      <c r="S25" s="45">
        <v>3913</v>
      </c>
      <c r="T25" s="45">
        <v>4371</v>
      </c>
      <c r="U25" s="45">
        <v>4712</v>
      </c>
      <c r="V25" s="45">
        <v>4654</v>
      </c>
      <c r="W25" s="45">
        <v>5223</v>
      </c>
      <c r="X25" s="136">
        <v>5339</v>
      </c>
      <c r="Y25" s="45">
        <v>5520</v>
      </c>
      <c r="Z25" s="45">
        <v>5652</v>
      </c>
      <c r="AA25" s="45">
        <v>4702</v>
      </c>
      <c r="AB25" s="45">
        <v>4094</v>
      </c>
      <c r="AC25" s="43">
        <v>2238</v>
      </c>
      <c r="AD25" s="43">
        <f>81+3346</f>
        <v>3427</v>
      </c>
      <c r="AE25" s="43">
        <v>4354</v>
      </c>
      <c r="AF25" s="43">
        <v>3196</v>
      </c>
      <c r="AG25" s="43">
        <f>63+2755</f>
        <v>2818</v>
      </c>
      <c r="AH25" s="43">
        <v>3442</v>
      </c>
      <c r="AI25" s="43">
        <f>74+1896</f>
        <v>1970</v>
      </c>
      <c r="AJ25" s="43">
        <f>82+1920</f>
        <v>2002</v>
      </c>
      <c r="AK25" s="143">
        <f>84+2108</f>
        <v>2192</v>
      </c>
      <c r="AL25" s="43">
        <f>707+2051</f>
        <v>2758</v>
      </c>
      <c r="AM25" s="43">
        <f>74+2285</f>
        <v>2359</v>
      </c>
      <c r="AN25" s="43">
        <f>91+3040</f>
        <v>3131</v>
      </c>
      <c r="AO25" s="43">
        <f>97+2997</f>
        <v>3094</v>
      </c>
      <c r="AP25" s="43">
        <f>SUM(117+7569)</f>
        <v>7686</v>
      </c>
      <c r="AQ25" s="43">
        <f>SUM(94+3191+0)</f>
        <v>3285</v>
      </c>
      <c r="AR25" s="43">
        <f>43+1444+0</f>
        <v>1487</v>
      </c>
      <c r="AS25" s="43">
        <f>88+2720</f>
        <v>2808</v>
      </c>
      <c r="AT25" s="43">
        <f>79+2578</f>
        <v>2657</v>
      </c>
      <c r="AU25" s="43">
        <f>75+2449</f>
        <v>2524</v>
      </c>
      <c r="AV25" s="43">
        <f>80+2667</f>
        <v>2747</v>
      </c>
      <c r="AW25" s="165">
        <f>116+3172</f>
        <v>3288</v>
      </c>
      <c r="AX25" s="100">
        <f>90+2929</f>
        <v>3019</v>
      </c>
      <c r="AY25" s="100">
        <f>98+3072</f>
        <v>3170</v>
      </c>
      <c r="AZ25" s="100">
        <f>SUM(3436+125)</f>
        <v>3561</v>
      </c>
      <c r="BA25" s="192">
        <v>3357</v>
      </c>
      <c r="BB25" s="192">
        <v>3399</v>
      </c>
      <c r="BC25" s="100">
        <f>109+3245</f>
        <v>3354</v>
      </c>
      <c r="BD25" s="100">
        <f>(112+3409)</f>
        <v>3521</v>
      </c>
      <c r="BE25" s="100">
        <f>108+3161</f>
        <v>3269</v>
      </c>
      <c r="BF25" s="100">
        <f>98+2976</f>
        <v>3074</v>
      </c>
      <c r="BG25" s="100">
        <f>108+3205</f>
        <v>3313</v>
      </c>
      <c r="BH25" s="100">
        <v>3093</v>
      </c>
      <c r="BI25" s="165">
        <f t="shared" si="52"/>
        <v>1096</v>
      </c>
      <c r="BJ25" s="100">
        <f t="shared" si="53"/>
        <v>261</v>
      </c>
      <c r="BK25" s="100">
        <f t="shared" si="54"/>
        <v>811</v>
      </c>
      <c r="BL25" s="100">
        <f t="shared" si="55"/>
        <v>430</v>
      </c>
      <c r="BM25" s="100">
        <f t="shared" si="55"/>
        <v>263</v>
      </c>
      <c r="BN25" s="100">
        <f t="shared" si="55"/>
        <v>-4287</v>
      </c>
      <c r="BO25" s="100">
        <f t="shared" si="55"/>
        <v>69</v>
      </c>
      <c r="BP25" s="100">
        <f t="shared" si="56"/>
        <v>2034</v>
      </c>
      <c r="BQ25" s="100">
        <f t="shared" si="57"/>
        <v>461</v>
      </c>
      <c r="BR25" s="100">
        <f t="shared" si="58"/>
        <v>417</v>
      </c>
      <c r="BS25" s="100">
        <f t="shared" si="58"/>
        <v>789</v>
      </c>
      <c r="BT25" s="200">
        <f t="shared" si="58"/>
        <v>346</v>
      </c>
      <c r="BU25" s="165">
        <f>117+3167</f>
        <v>3284</v>
      </c>
      <c r="BV25" s="100">
        <v>3348</v>
      </c>
      <c r="BW25" s="100">
        <v>3482</v>
      </c>
      <c r="BX25" s="100">
        <v>3590</v>
      </c>
      <c r="BY25" s="100">
        <f>104+3127</f>
        <v>3231</v>
      </c>
      <c r="BZ25" s="192">
        <v>2335</v>
      </c>
      <c r="CA25" s="100">
        <v>2734</v>
      </c>
      <c r="CB25" s="100">
        <v>2668</v>
      </c>
      <c r="CC25" s="100">
        <v>2616</v>
      </c>
      <c r="CD25" s="100">
        <v>2457</v>
      </c>
      <c r="CE25" s="100">
        <v>2644</v>
      </c>
      <c r="CF25" s="200"/>
      <c r="CG25" s="165">
        <f t="shared" si="59"/>
        <v>2188</v>
      </c>
      <c r="CH25" s="100">
        <f t="shared" si="60"/>
        <v>3087</v>
      </c>
      <c r="CI25" s="100">
        <f t="shared" si="61"/>
        <v>2671</v>
      </c>
      <c r="CJ25" s="100">
        <f t="shared" si="62"/>
        <v>3160</v>
      </c>
      <c r="CK25" s="100">
        <f t="shared" si="63"/>
        <v>2968</v>
      </c>
      <c r="CL25" s="100">
        <f t="shared" si="64"/>
        <v>6622</v>
      </c>
      <c r="CM25" s="100">
        <f t="shared" si="65"/>
        <v>2665</v>
      </c>
      <c r="CN25" s="100">
        <f t="shared" si="66"/>
        <v>634</v>
      </c>
      <c r="CO25" s="100">
        <f t="shared" si="67"/>
        <v>2155</v>
      </c>
      <c r="CP25" s="100">
        <f t="shared" si="68"/>
        <v>2040</v>
      </c>
      <c r="CQ25" s="100">
        <f t="shared" si="69"/>
        <v>1855</v>
      </c>
      <c r="CR25" s="200">
        <f t="shared" si="70"/>
        <v>-346</v>
      </c>
    </row>
    <row r="26" spans="1:96" x14ac:dyDescent="0.25">
      <c r="B26" s="96" t="s">
        <v>36</v>
      </c>
      <c r="C26" s="135">
        <v>547</v>
      </c>
      <c r="D26" s="45">
        <v>583</v>
      </c>
      <c r="E26" s="45">
        <v>580</v>
      </c>
      <c r="F26" s="45">
        <v>574</v>
      </c>
      <c r="G26" s="45">
        <v>525</v>
      </c>
      <c r="H26" s="45">
        <v>573</v>
      </c>
      <c r="I26" s="45">
        <v>521</v>
      </c>
      <c r="J26" s="45">
        <v>419</v>
      </c>
      <c r="K26" s="45">
        <v>486</v>
      </c>
      <c r="L26" s="136">
        <v>460</v>
      </c>
      <c r="M26" s="135">
        <v>531</v>
      </c>
      <c r="N26" s="45">
        <v>586</v>
      </c>
      <c r="O26" s="45">
        <v>579</v>
      </c>
      <c r="P26" s="45">
        <v>801</v>
      </c>
      <c r="Q26" s="45">
        <v>924</v>
      </c>
      <c r="R26" s="45">
        <v>664</v>
      </c>
      <c r="S26" s="45">
        <v>556</v>
      </c>
      <c r="T26" s="45">
        <v>561</v>
      </c>
      <c r="U26" s="45">
        <v>560</v>
      </c>
      <c r="V26" s="45">
        <v>587</v>
      </c>
      <c r="W26" s="45">
        <v>683</v>
      </c>
      <c r="X26" s="136">
        <v>680</v>
      </c>
      <c r="Y26" s="45">
        <v>704</v>
      </c>
      <c r="Z26" s="45">
        <v>868</v>
      </c>
      <c r="AA26" s="45">
        <v>589</v>
      </c>
      <c r="AB26" s="45">
        <v>590</v>
      </c>
      <c r="AC26" s="43">
        <v>471</v>
      </c>
      <c r="AD26" s="43">
        <f>322+52+75+11</f>
        <v>460</v>
      </c>
      <c r="AE26" s="43">
        <v>497</v>
      </c>
      <c r="AF26" s="43">
        <v>430</v>
      </c>
      <c r="AG26" s="43">
        <v>413</v>
      </c>
      <c r="AH26" s="43">
        <v>325</v>
      </c>
      <c r="AI26" s="43">
        <f>309+62+3</f>
        <v>374</v>
      </c>
      <c r="AJ26" s="43">
        <v>369</v>
      </c>
      <c r="AK26" s="143">
        <v>323</v>
      </c>
      <c r="AL26" s="43">
        <v>325</v>
      </c>
      <c r="AM26" s="43">
        <f>289+58+42+9</f>
        <v>398</v>
      </c>
      <c r="AN26" s="43">
        <f>337+57+5+6</f>
        <v>405</v>
      </c>
      <c r="AO26" s="43">
        <f>451+82+9+6</f>
        <v>548</v>
      </c>
      <c r="AP26" s="43">
        <f>609+88+50+12</f>
        <v>759</v>
      </c>
      <c r="AQ26" s="43">
        <f>SUM(360+68+3+5)</f>
        <v>436</v>
      </c>
      <c r="AR26" s="43">
        <f>187+26+2+2</f>
        <v>217</v>
      </c>
      <c r="AS26" s="43">
        <f>347+66+2+5</f>
        <v>420</v>
      </c>
      <c r="AT26" s="43">
        <f>302+57+2+5</f>
        <v>366</v>
      </c>
      <c r="AU26" s="43">
        <f>311+63+2+5</f>
        <v>381</v>
      </c>
      <c r="AV26" s="43">
        <f>309+63+2+3</f>
        <v>377</v>
      </c>
      <c r="AW26" s="165">
        <f>278+72+1+6</f>
        <v>357</v>
      </c>
      <c r="AX26" s="100">
        <f>296+78+3</f>
        <v>377</v>
      </c>
      <c r="AY26" s="100">
        <f>267+64+40+8</f>
        <v>379</v>
      </c>
      <c r="AZ26" s="100">
        <f>SUM(220+57+7)</f>
        <v>284</v>
      </c>
      <c r="BA26" s="192">
        <f>SUM(259+56+39+3)</f>
        <v>357</v>
      </c>
      <c r="BB26" s="192">
        <v>420</v>
      </c>
      <c r="BC26" s="100">
        <f>207+49+5+4</f>
        <v>265</v>
      </c>
      <c r="BD26" s="100">
        <f>(257+49+7+3)</f>
        <v>316</v>
      </c>
      <c r="BE26" s="100">
        <f>185+61+7+2</f>
        <v>255</v>
      </c>
      <c r="BF26" s="100">
        <f>161+38+6</f>
        <v>205</v>
      </c>
      <c r="BG26" s="100">
        <f>171+1+32+40+4</f>
        <v>248</v>
      </c>
      <c r="BH26" s="100">
        <v>195</v>
      </c>
      <c r="BI26" s="165">
        <f t="shared" si="52"/>
        <v>34</v>
      </c>
      <c r="BJ26" s="100">
        <f t="shared" si="53"/>
        <v>52</v>
      </c>
      <c r="BK26" s="100">
        <f t="shared" si="54"/>
        <v>-19</v>
      </c>
      <c r="BL26" s="100">
        <f t="shared" si="55"/>
        <v>-121</v>
      </c>
      <c r="BM26" s="100">
        <f t="shared" si="55"/>
        <v>-191</v>
      </c>
      <c r="BN26" s="100">
        <f t="shared" si="55"/>
        <v>-339</v>
      </c>
      <c r="BO26" s="100">
        <f t="shared" si="55"/>
        <v>-171</v>
      </c>
      <c r="BP26" s="100">
        <f t="shared" si="56"/>
        <v>99</v>
      </c>
      <c r="BQ26" s="100">
        <f t="shared" si="57"/>
        <v>-165</v>
      </c>
      <c r="BR26" s="100">
        <f t="shared" si="58"/>
        <v>-161</v>
      </c>
      <c r="BS26" s="100">
        <f t="shared" si="58"/>
        <v>-133</v>
      </c>
      <c r="BT26" s="200">
        <f t="shared" si="58"/>
        <v>-182</v>
      </c>
      <c r="BU26" s="165">
        <f>134+31+16+1</f>
        <v>182</v>
      </c>
      <c r="BV26" s="100">
        <v>223</v>
      </c>
      <c r="BW26" s="100">
        <v>199</v>
      </c>
      <c r="BX26" s="100">
        <v>214</v>
      </c>
      <c r="BY26" s="100">
        <f>153+30+5</f>
        <v>188</v>
      </c>
      <c r="BZ26" s="192">
        <v>268</v>
      </c>
      <c r="CA26" s="100">
        <v>249</v>
      </c>
      <c r="CB26" s="100">
        <v>224</v>
      </c>
      <c r="CC26" s="100">
        <v>209</v>
      </c>
      <c r="CD26" s="100">
        <v>190</v>
      </c>
      <c r="CE26" s="100">
        <v>281</v>
      </c>
      <c r="CF26" s="200"/>
      <c r="CG26" s="165">
        <f t="shared" si="59"/>
        <v>148</v>
      </c>
      <c r="CH26" s="100">
        <f t="shared" si="60"/>
        <v>171</v>
      </c>
      <c r="CI26" s="100">
        <f t="shared" si="61"/>
        <v>218</v>
      </c>
      <c r="CJ26" s="100">
        <f t="shared" si="62"/>
        <v>335</v>
      </c>
      <c r="CK26" s="100">
        <f t="shared" si="63"/>
        <v>379</v>
      </c>
      <c r="CL26" s="100">
        <f t="shared" si="64"/>
        <v>607</v>
      </c>
      <c r="CM26" s="100">
        <f t="shared" si="65"/>
        <v>420</v>
      </c>
      <c r="CN26" s="100">
        <f t="shared" si="66"/>
        <v>125</v>
      </c>
      <c r="CO26" s="100">
        <f t="shared" si="67"/>
        <v>374</v>
      </c>
      <c r="CP26" s="100">
        <f t="shared" si="68"/>
        <v>351</v>
      </c>
      <c r="CQ26" s="100">
        <f t="shared" si="69"/>
        <v>414</v>
      </c>
      <c r="CR26" s="200">
        <f t="shared" si="70"/>
        <v>182</v>
      </c>
    </row>
    <row r="27" spans="1:96" x14ac:dyDescent="0.25">
      <c r="B27" s="96" t="s">
        <v>37</v>
      </c>
      <c r="C27" s="135">
        <v>63</v>
      </c>
      <c r="D27" s="45">
        <v>65</v>
      </c>
      <c r="E27" s="45">
        <v>65</v>
      </c>
      <c r="F27" s="45">
        <v>66</v>
      </c>
      <c r="G27" s="45">
        <v>51</v>
      </c>
      <c r="H27" s="45">
        <v>62</v>
      </c>
      <c r="I27" s="45">
        <v>57</v>
      </c>
      <c r="J27" s="45">
        <v>36</v>
      </c>
      <c r="K27" s="45">
        <v>50</v>
      </c>
      <c r="L27" s="136">
        <v>50</v>
      </c>
      <c r="M27" s="135">
        <v>55</v>
      </c>
      <c r="N27" s="45">
        <v>61</v>
      </c>
      <c r="O27" s="45">
        <v>71</v>
      </c>
      <c r="P27" s="45">
        <v>107</v>
      </c>
      <c r="Q27" s="45">
        <v>117</v>
      </c>
      <c r="R27" s="45">
        <v>97</v>
      </c>
      <c r="S27" s="45">
        <v>80</v>
      </c>
      <c r="T27" s="45">
        <v>73</v>
      </c>
      <c r="U27" s="45">
        <v>63</v>
      </c>
      <c r="V27" s="45">
        <v>65</v>
      </c>
      <c r="W27" s="45">
        <v>85</v>
      </c>
      <c r="X27" s="136">
        <v>109</v>
      </c>
      <c r="Y27" s="45">
        <v>108</v>
      </c>
      <c r="Z27" s="45">
        <v>153</v>
      </c>
      <c r="AA27" s="45">
        <v>71</v>
      </c>
      <c r="AB27" s="45">
        <v>68</v>
      </c>
      <c r="AC27" s="43">
        <v>60</v>
      </c>
      <c r="AD27" s="43">
        <f>14+9+46+8</f>
        <v>77</v>
      </c>
      <c r="AE27" s="43">
        <v>41</v>
      </c>
      <c r="AF27" s="43">
        <v>38</v>
      </c>
      <c r="AG27" s="43">
        <v>34</v>
      </c>
      <c r="AH27" s="43">
        <v>35</v>
      </c>
      <c r="AI27" s="43">
        <f>11+6+12+3</f>
        <v>32</v>
      </c>
      <c r="AJ27" s="43">
        <v>27</v>
      </c>
      <c r="AK27" s="143">
        <v>20</v>
      </c>
      <c r="AL27" s="43">
        <v>19</v>
      </c>
      <c r="AM27" s="43">
        <v>35</v>
      </c>
      <c r="AN27" s="43">
        <f>10+6+11+4</f>
        <v>31</v>
      </c>
      <c r="AO27" s="43">
        <f>21+12+18+8</f>
        <v>59</v>
      </c>
      <c r="AP27" s="43">
        <f>33+12+24+12</f>
        <v>81</v>
      </c>
      <c r="AQ27" s="43">
        <f>SUM(16+10+3+5)</f>
        <v>34</v>
      </c>
      <c r="AR27" s="43">
        <f>4+4+7+2</f>
        <v>17</v>
      </c>
      <c r="AS27" s="43">
        <f>17+11+12+6</f>
        <v>46</v>
      </c>
      <c r="AT27" s="43">
        <f>11+6+11+4</f>
        <v>32</v>
      </c>
      <c r="AU27" s="43">
        <f>11+6+6+4</f>
        <v>27</v>
      </c>
      <c r="AV27" s="43">
        <f>13+6+7+5</f>
        <v>31</v>
      </c>
      <c r="AW27" s="165">
        <f>8+7+6+7</f>
        <v>28</v>
      </c>
      <c r="AX27" s="100">
        <f>9+8+4+8</f>
        <v>29</v>
      </c>
      <c r="AY27" s="100">
        <f>10+9+27+7</f>
        <v>53</v>
      </c>
      <c r="AZ27" s="100">
        <f>SUM(12+8+14+5)</f>
        <v>39</v>
      </c>
      <c r="BA27" s="192">
        <f>SUM(9+6+15+6)</f>
        <v>36</v>
      </c>
      <c r="BB27" s="192">
        <v>39</v>
      </c>
      <c r="BC27" s="100">
        <f>12+6+9+2</f>
        <v>29</v>
      </c>
      <c r="BD27" s="100">
        <f>(12+7+8+2)</f>
        <v>29</v>
      </c>
      <c r="BE27" s="100">
        <f>8+2+11+2</f>
        <v>23</v>
      </c>
      <c r="BF27" s="100">
        <f>8+2+3+3</f>
        <v>16</v>
      </c>
      <c r="BG27" s="100">
        <f>6+5+9+3</f>
        <v>23</v>
      </c>
      <c r="BH27" s="100">
        <v>20</v>
      </c>
      <c r="BI27" s="165">
        <f t="shared" si="52"/>
        <v>8</v>
      </c>
      <c r="BJ27" s="100">
        <f t="shared" si="53"/>
        <v>10</v>
      </c>
      <c r="BK27" s="100">
        <f t="shared" si="54"/>
        <v>18</v>
      </c>
      <c r="BL27" s="100">
        <f t="shared" si="55"/>
        <v>8</v>
      </c>
      <c r="BM27" s="100">
        <f t="shared" si="55"/>
        <v>-23</v>
      </c>
      <c r="BN27" s="100">
        <f t="shared" si="55"/>
        <v>-42</v>
      </c>
      <c r="BO27" s="100">
        <f t="shared" si="55"/>
        <v>-5</v>
      </c>
      <c r="BP27" s="100">
        <f t="shared" si="56"/>
        <v>12</v>
      </c>
      <c r="BQ27" s="100">
        <f t="shared" si="57"/>
        <v>-23</v>
      </c>
      <c r="BR27" s="100">
        <f t="shared" si="58"/>
        <v>-16</v>
      </c>
      <c r="BS27" s="100">
        <f t="shared" si="58"/>
        <v>-4</v>
      </c>
      <c r="BT27" s="200">
        <f t="shared" si="58"/>
        <v>-11</v>
      </c>
      <c r="BU27" s="165">
        <f>8+1+5+2</f>
        <v>16</v>
      </c>
      <c r="BV27" s="100">
        <v>16</v>
      </c>
      <c r="BW27" s="100">
        <v>38</v>
      </c>
      <c r="BX27" s="100">
        <v>14</v>
      </c>
      <c r="BY27" s="100">
        <f>6+1+1+1</f>
        <v>9</v>
      </c>
      <c r="BZ27" s="192">
        <v>41</v>
      </c>
      <c r="CA27" s="100">
        <v>17</v>
      </c>
      <c r="CB27" s="100">
        <v>23</v>
      </c>
      <c r="CC27" s="100">
        <v>23</v>
      </c>
      <c r="CD27" s="100">
        <v>21</v>
      </c>
      <c r="CE27" s="100">
        <v>50</v>
      </c>
      <c r="CF27" s="200"/>
      <c r="CG27" s="165">
        <f t="shared" si="59"/>
        <v>8</v>
      </c>
      <c r="CH27" s="100">
        <f t="shared" si="60"/>
        <v>6</v>
      </c>
      <c r="CI27" s="100">
        <f t="shared" si="61"/>
        <v>20</v>
      </c>
      <c r="CJ27" s="100">
        <f t="shared" si="62"/>
        <v>6</v>
      </c>
      <c r="CK27" s="100">
        <f t="shared" si="63"/>
        <v>32</v>
      </c>
      <c r="CL27" s="100">
        <f t="shared" si="64"/>
        <v>83</v>
      </c>
      <c r="CM27" s="100">
        <f t="shared" si="65"/>
        <v>22</v>
      </c>
      <c r="CN27" s="100">
        <f t="shared" si="66"/>
        <v>11</v>
      </c>
      <c r="CO27" s="100">
        <f t="shared" si="67"/>
        <v>46</v>
      </c>
      <c r="CP27" s="100">
        <f t="shared" si="68"/>
        <v>37</v>
      </c>
      <c r="CQ27" s="100">
        <f t="shared" si="69"/>
        <v>54</v>
      </c>
      <c r="CR27" s="200">
        <f t="shared" si="70"/>
        <v>11</v>
      </c>
    </row>
    <row r="28" spans="1:96" x14ac:dyDescent="0.25">
      <c r="B28" s="96" t="s">
        <v>38</v>
      </c>
      <c r="C28" s="135">
        <v>0</v>
      </c>
      <c r="D28" s="45">
        <v>2</v>
      </c>
      <c r="E28" s="45">
        <v>1</v>
      </c>
      <c r="F28" s="45">
        <v>3</v>
      </c>
      <c r="G28" s="45">
        <v>1</v>
      </c>
      <c r="H28" s="45">
        <v>2</v>
      </c>
      <c r="I28" s="45">
        <v>1</v>
      </c>
      <c r="J28" s="45">
        <v>1</v>
      </c>
      <c r="K28" s="45">
        <v>2</v>
      </c>
      <c r="L28" s="136">
        <v>1</v>
      </c>
      <c r="M28" s="135">
        <v>1</v>
      </c>
      <c r="N28" s="45">
        <v>1</v>
      </c>
      <c r="O28" s="45">
        <v>0</v>
      </c>
      <c r="P28" s="45">
        <v>4</v>
      </c>
      <c r="Q28" s="45">
        <v>6</v>
      </c>
      <c r="R28" s="45">
        <v>6</v>
      </c>
      <c r="S28" s="45">
        <v>3</v>
      </c>
      <c r="T28" s="45">
        <v>4</v>
      </c>
      <c r="U28" s="45">
        <v>4</v>
      </c>
      <c r="V28" s="45">
        <v>1</v>
      </c>
      <c r="W28" s="45">
        <v>3</v>
      </c>
      <c r="X28" s="136">
        <v>4</v>
      </c>
      <c r="Y28" s="45">
        <v>2</v>
      </c>
      <c r="Z28" s="45">
        <v>5</v>
      </c>
      <c r="AA28" s="45">
        <v>1</v>
      </c>
      <c r="AB28" s="45">
        <v>3</v>
      </c>
      <c r="AC28" s="43">
        <v>1</v>
      </c>
      <c r="AD28" s="43">
        <v>1</v>
      </c>
      <c r="AE28" s="43">
        <v>3</v>
      </c>
      <c r="AF28" s="43">
        <v>3</v>
      </c>
      <c r="AG28" s="43">
        <v>2</v>
      </c>
      <c r="AH28" s="43">
        <v>1</v>
      </c>
      <c r="AI28" s="43">
        <f>2</f>
        <v>2</v>
      </c>
      <c r="AJ28" s="43">
        <v>2</v>
      </c>
      <c r="AK28" s="143">
        <v>1</v>
      </c>
      <c r="AL28" s="43">
        <v>1</v>
      </c>
      <c r="AM28" s="43">
        <v>2</v>
      </c>
      <c r="AN28" s="43">
        <f>1</f>
        <v>1</v>
      </c>
      <c r="AO28" s="43">
        <v>0</v>
      </c>
      <c r="AP28" s="43">
        <v>0</v>
      </c>
      <c r="AQ28" s="43">
        <v>0</v>
      </c>
      <c r="AR28" s="43">
        <v>0</v>
      </c>
      <c r="AS28" s="43">
        <v>0</v>
      </c>
      <c r="AT28" s="43">
        <v>0</v>
      </c>
      <c r="AU28" s="43">
        <v>0</v>
      </c>
      <c r="AV28" s="43">
        <v>1</v>
      </c>
      <c r="AW28" s="165">
        <v>1</v>
      </c>
      <c r="AX28" s="100">
        <v>1</v>
      </c>
      <c r="AY28" s="100">
        <f>1</f>
        <v>1</v>
      </c>
      <c r="AZ28" s="100">
        <f>SUM(1)</f>
        <v>1</v>
      </c>
      <c r="BA28" s="192">
        <f>SUM(1+1)</f>
        <v>2</v>
      </c>
      <c r="BB28" s="192">
        <v>1</v>
      </c>
      <c r="BC28" s="100">
        <v>0</v>
      </c>
      <c r="BD28" s="100">
        <f>(1+1)</f>
        <v>2</v>
      </c>
      <c r="BE28" s="100">
        <v>0</v>
      </c>
      <c r="BF28" s="100">
        <v>1</v>
      </c>
      <c r="BG28" s="100">
        <v>1</v>
      </c>
      <c r="BH28" s="100">
        <v>1</v>
      </c>
      <c r="BI28" s="165">
        <f t="shared" si="52"/>
        <v>0</v>
      </c>
      <c r="BJ28" s="100">
        <f t="shared" si="53"/>
        <v>0</v>
      </c>
      <c r="BK28" s="100">
        <f t="shared" si="54"/>
        <v>-1</v>
      </c>
      <c r="BL28" s="100">
        <f t="shared" si="55"/>
        <v>0</v>
      </c>
      <c r="BM28" s="100">
        <f t="shared" si="55"/>
        <v>2</v>
      </c>
      <c r="BN28" s="100">
        <f t="shared" si="55"/>
        <v>1</v>
      </c>
      <c r="BO28" s="100">
        <f t="shared" si="55"/>
        <v>0</v>
      </c>
      <c r="BP28" s="100">
        <f t="shared" si="56"/>
        <v>2</v>
      </c>
      <c r="BQ28" s="100">
        <f t="shared" si="57"/>
        <v>0</v>
      </c>
      <c r="BR28" s="100">
        <f t="shared" si="58"/>
        <v>1</v>
      </c>
      <c r="BS28" s="100">
        <f t="shared" si="58"/>
        <v>1</v>
      </c>
      <c r="BT28" s="200">
        <f t="shared" si="58"/>
        <v>0</v>
      </c>
      <c r="BU28" s="165">
        <v>0</v>
      </c>
      <c r="BV28" s="100">
        <v>1</v>
      </c>
      <c r="BW28" s="100">
        <v>1</v>
      </c>
      <c r="BX28" s="100">
        <v>0</v>
      </c>
      <c r="BY28" s="100">
        <v>1</v>
      </c>
      <c r="BZ28" s="192">
        <v>1</v>
      </c>
      <c r="CA28" s="100">
        <v>0</v>
      </c>
      <c r="CB28" s="100">
        <v>2</v>
      </c>
      <c r="CC28" s="100">
        <v>2</v>
      </c>
      <c r="CD28" s="100">
        <v>0</v>
      </c>
      <c r="CE28" s="100">
        <v>1</v>
      </c>
      <c r="CF28" s="200"/>
      <c r="CG28" s="165">
        <f t="shared" si="59"/>
        <v>0</v>
      </c>
      <c r="CH28" s="100">
        <f t="shared" si="60"/>
        <v>1</v>
      </c>
      <c r="CI28" s="100">
        <f t="shared" si="61"/>
        <v>2</v>
      </c>
      <c r="CJ28" s="100">
        <f t="shared" si="62"/>
        <v>0</v>
      </c>
      <c r="CK28" s="100">
        <f t="shared" si="63"/>
        <v>-1</v>
      </c>
      <c r="CL28" s="100">
        <f t="shared" si="64"/>
        <v>0</v>
      </c>
      <c r="CM28" s="100">
        <f t="shared" si="65"/>
        <v>0</v>
      </c>
      <c r="CN28" s="100">
        <f t="shared" si="66"/>
        <v>0</v>
      </c>
      <c r="CO28" s="100">
        <f t="shared" si="67"/>
        <v>2</v>
      </c>
      <c r="CP28" s="100">
        <f t="shared" si="68"/>
        <v>-1</v>
      </c>
      <c r="CQ28" s="100">
        <f t="shared" si="69"/>
        <v>0</v>
      </c>
      <c r="CR28" s="200">
        <f t="shared" si="70"/>
        <v>0</v>
      </c>
    </row>
    <row r="29" spans="1:96" x14ac:dyDescent="0.25">
      <c r="B29" s="96" t="s">
        <v>39</v>
      </c>
      <c r="C29" s="135">
        <f t="shared" ref="C29:AF29" si="71">SUM(C24:C28)</f>
        <v>16020</v>
      </c>
      <c r="D29" s="45">
        <f t="shared" si="71"/>
        <v>16333</v>
      </c>
      <c r="E29" s="45">
        <f t="shared" si="71"/>
        <v>16023</v>
      </c>
      <c r="F29" s="45">
        <f t="shared" si="71"/>
        <v>17885</v>
      </c>
      <c r="G29" s="45">
        <f t="shared" si="71"/>
        <v>16733</v>
      </c>
      <c r="H29" s="45">
        <f t="shared" si="71"/>
        <v>16633</v>
      </c>
      <c r="I29" s="45">
        <f t="shared" si="71"/>
        <v>16344</v>
      </c>
      <c r="J29" s="45">
        <f t="shared" si="71"/>
        <v>15492</v>
      </c>
      <c r="K29" s="45">
        <f t="shared" si="71"/>
        <v>15799</v>
      </c>
      <c r="L29" s="136">
        <f t="shared" si="71"/>
        <v>15232</v>
      </c>
      <c r="M29" s="135">
        <f t="shared" si="71"/>
        <v>14621</v>
      </c>
      <c r="N29" s="45">
        <f t="shared" si="71"/>
        <v>15172</v>
      </c>
      <c r="O29" s="45">
        <f t="shared" si="71"/>
        <v>16064</v>
      </c>
      <c r="P29" s="45">
        <f t="shared" si="71"/>
        <v>16842</v>
      </c>
      <c r="Q29" s="45">
        <f t="shared" si="71"/>
        <v>17502</v>
      </c>
      <c r="R29" s="45">
        <f t="shared" si="71"/>
        <v>17385</v>
      </c>
      <c r="S29" s="45">
        <f t="shared" si="71"/>
        <v>16230</v>
      </c>
      <c r="T29" s="45">
        <f t="shared" si="71"/>
        <v>16828</v>
      </c>
      <c r="U29" s="45">
        <f t="shared" si="71"/>
        <v>17156</v>
      </c>
      <c r="V29" s="45">
        <f t="shared" si="71"/>
        <v>16489</v>
      </c>
      <c r="W29" s="45">
        <f t="shared" si="71"/>
        <v>18377</v>
      </c>
      <c r="X29" s="136">
        <f t="shared" si="71"/>
        <v>18236</v>
      </c>
      <c r="Y29" s="45">
        <f t="shared" si="71"/>
        <v>17825</v>
      </c>
      <c r="Z29" s="45">
        <f t="shared" si="71"/>
        <v>20485</v>
      </c>
      <c r="AA29" s="45">
        <f t="shared" si="71"/>
        <v>17742</v>
      </c>
      <c r="AB29" s="45">
        <f t="shared" si="71"/>
        <v>17202</v>
      </c>
      <c r="AC29" s="45">
        <f t="shared" si="71"/>
        <v>13745</v>
      </c>
      <c r="AD29" s="45">
        <f t="shared" si="71"/>
        <v>12755</v>
      </c>
      <c r="AE29" s="45">
        <f t="shared" si="71"/>
        <v>14587</v>
      </c>
      <c r="AF29" s="45">
        <f t="shared" si="71"/>
        <v>13095</v>
      </c>
      <c r="AG29" s="45">
        <f t="shared" ref="AG29:AN29" si="72">SUM(AG24:AG28)</f>
        <v>12834</v>
      </c>
      <c r="AH29" s="45">
        <f t="shared" si="72"/>
        <v>11554</v>
      </c>
      <c r="AI29" s="45">
        <f t="shared" si="72"/>
        <v>10477</v>
      </c>
      <c r="AJ29" s="45">
        <f t="shared" si="72"/>
        <v>10862</v>
      </c>
      <c r="AK29" s="135">
        <f t="shared" si="72"/>
        <v>10132</v>
      </c>
      <c r="AL29" s="45">
        <f t="shared" si="72"/>
        <v>10322</v>
      </c>
      <c r="AM29" s="45">
        <f t="shared" si="72"/>
        <v>11568</v>
      </c>
      <c r="AN29" s="45">
        <f t="shared" si="72"/>
        <v>12701</v>
      </c>
      <c r="AO29" s="45">
        <f t="shared" ref="AO29:AT29" si="73">SUM(AO24:AO28)</f>
        <v>13933</v>
      </c>
      <c r="AP29" s="45">
        <f t="shared" si="73"/>
        <v>20883</v>
      </c>
      <c r="AQ29" s="45">
        <f t="shared" si="73"/>
        <v>14152</v>
      </c>
      <c r="AR29" s="45">
        <f t="shared" si="73"/>
        <v>6785</v>
      </c>
      <c r="AS29" s="45">
        <f t="shared" si="73"/>
        <v>12245</v>
      </c>
      <c r="AT29" s="45">
        <f t="shared" si="73"/>
        <v>10825</v>
      </c>
      <c r="AU29" s="45">
        <f t="shared" ref="AU29:BB29" si="74">SUM(AU24:AU28)</f>
        <v>10943</v>
      </c>
      <c r="AV29" s="45">
        <f t="shared" si="74"/>
        <v>11344</v>
      </c>
      <c r="AW29" s="167">
        <f t="shared" si="74"/>
        <v>10929</v>
      </c>
      <c r="AX29" s="101">
        <f t="shared" si="74"/>
        <v>11136</v>
      </c>
      <c r="AY29" s="101">
        <f t="shared" si="74"/>
        <v>11786</v>
      </c>
      <c r="AZ29" s="100">
        <f t="shared" si="74"/>
        <v>12596</v>
      </c>
      <c r="BA29" s="100">
        <f t="shared" si="74"/>
        <v>15613</v>
      </c>
      <c r="BB29" s="100">
        <f t="shared" si="74"/>
        <v>13181</v>
      </c>
      <c r="BC29" s="100">
        <f t="shared" ref="BC29:BH29" si="75">SUM(BC24:BC28)</f>
        <v>11585</v>
      </c>
      <c r="BD29" s="100">
        <f t="shared" si="75"/>
        <v>12355</v>
      </c>
      <c r="BE29" s="100">
        <f t="shared" si="75"/>
        <v>9943</v>
      </c>
      <c r="BF29" s="100">
        <f t="shared" si="75"/>
        <v>8780</v>
      </c>
      <c r="BG29" s="100">
        <f t="shared" si="75"/>
        <v>9791</v>
      </c>
      <c r="BH29" s="100">
        <f t="shared" si="75"/>
        <v>9351</v>
      </c>
      <c r="BI29" s="165">
        <f t="shared" si="52"/>
        <v>797</v>
      </c>
      <c r="BJ29" s="101">
        <f t="shared" si="53"/>
        <v>814</v>
      </c>
      <c r="BK29" s="101">
        <f t="shared" si="54"/>
        <v>218</v>
      </c>
      <c r="BL29" s="100">
        <f t="shared" si="55"/>
        <v>-105</v>
      </c>
      <c r="BM29" s="100">
        <f t="shared" si="55"/>
        <v>1680</v>
      </c>
      <c r="BN29" s="100">
        <f t="shared" si="55"/>
        <v>-7702</v>
      </c>
      <c r="BO29" s="100">
        <f t="shared" si="55"/>
        <v>-2567</v>
      </c>
      <c r="BP29" s="100">
        <f t="shared" si="56"/>
        <v>5570</v>
      </c>
      <c r="BQ29" s="100">
        <f t="shared" si="57"/>
        <v>-2302</v>
      </c>
      <c r="BR29" s="100">
        <f t="shared" si="58"/>
        <v>-2045</v>
      </c>
      <c r="BS29" s="100">
        <f t="shared" si="58"/>
        <v>-1152</v>
      </c>
      <c r="BT29" s="200">
        <f t="shared" si="58"/>
        <v>-1993</v>
      </c>
      <c r="BU29" s="167">
        <f t="shared" ref="BU29:CF29" si="76">SUM(BU24:BU28)</f>
        <v>8714</v>
      </c>
      <c r="BV29" s="101">
        <f t="shared" si="76"/>
        <v>9236</v>
      </c>
      <c r="BW29" s="101">
        <f t="shared" si="76"/>
        <v>9002</v>
      </c>
      <c r="BX29" s="101">
        <f t="shared" si="76"/>
        <v>8902</v>
      </c>
      <c r="BY29" s="101">
        <f t="shared" si="76"/>
        <v>8485</v>
      </c>
      <c r="BZ29" s="100">
        <v>8629</v>
      </c>
      <c r="CA29" s="100">
        <f t="shared" si="76"/>
        <v>9102</v>
      </c>
      <c r="CB29" s="100">
        <f t="shared" si="76"/>
        <v>8981</v>
      </c>
      <c r="CC29" s="100">
        <f t="shared" si="76"/>
        <v>8731</v>
      </c>
      <c r="CD29" s="100">
        <f t="shared" si="76"/>
        <v>7887</v>
      </c>
      <c r="CE29" s="100">
        <f t="shared" si="76"/>
        <v>8302</v>
      </c>
      <c r="CF29" s="200">
        <f t="shared" si="76"/>
        <v>0</v>
      </c>
      <c r="CG29" s="165">
        <f t="shared" si="59"/>
        <v>7917</v>
      </c>
      <c r="CH29" s="101">
        <f t="shared" si="60"/>
        <v>8422</v>
      </c>
      <c r="CI29" s="101">
        <f t="shared" si="61"/>
        <v>8784</v>
      </c>
      <c r="CJ29" s="100">
        <f t="shared" si="62"/>
        <v>9007</v>
      </c>
      <c r="CK29" s="100">
        <f t="shared" si="63"/>
        <v>6805</v>
      </c>
      <c r="CL29" s="100">
        <f t="shared" si="64"/>
        <v>16331</v>
      </c>
      <c r="CM29" s="100">
        <f t="shared" si="65"/>
        <v>11669</v>
      </c>
      <c r="CN29" s="100">
        <f t="shared" si="66"/>
        <v>3411</v>
      </c>
      <c r="CO29" s="100">
        <f t="shared" si="67"/>
        <v>11033</v>
      </c>
      <c r="CP29" s="100">
        <f t="shared" si="68"/>
        <v>9932</v>
      </c>
      <c r="CQ29" s="100">
        <f t="shared" si="69"/>
        <v>9454</v>
      </c>
      <c r="CR29" s="200">
        <f t="shared" si="70"/>
        <v>1993</v>
      </c>
    </row>
    <row r="30" spans="1:96" x14ac:dyDescent="0.25">
      <c r="A30" s="49">
        <f>+A23+1</f>
        <v>4</v>
      </c>
      <c r="B30" s="103" t="s">
        <v>21</v>
      </c>
      <c r="C30" s="135"/>
      <c r="D30" s="45"/>
      <c r="E30" s="45"/>
      <c r="F30" s="45"/>
      <c r="G30" s="45"/>
      <c r="H30" s="45"/>
      <c r="I30" s="45"/>
      <c r="J30" s="45"/>
      <c r="K30" s="45"/>
      <c r="L30" s="136"/>
      <c r="M30" s="135"/>
      <c r="N30" s="45"/>
      <c r="O30" s="45"/>
      <c r="P30" s="45"/>
      <c r="Q30" s="45"/>
      <c r="R30" s="45"/>
      <c r="S30" s="45"/>
      <c r="T30" s="45"/>
      <c r="U30" s="45"/>
      <c r="V30" s="45"/>
      <c r="W30" s="45"/>
      <c r="X30" s="136"/>
      <c r="Y30" s="45"/>
      <c r="Z30" s="45"/>
      <c r="AA30" s="45"/>
      <c r="AB30" s="45"/>
      <c r="AC30" s="45"/>
      <c r="AD30" s="43"/>
      <c r="AE30" s="43"/>
      <c r="AF30" s="43"/>
      <c r="AG30" s="43"/>
      <c r="AH30" s="43"/>
      <c r="AI30" s="43"/>
      <c r="AJ30" s="43"/>
      <c r="AK30" s="143"/>
      <c r="AL30" s="43"/>
      <c r="AM30" s="43"/>
      <c r="AN30" s="43"/>
      <c r="AO30" s="43"/>
      <c r="AP30" s="43"/>
      <c r="AQ30" s="43"/>
      <c r="AR30" s="43"/>
      <c r="AS30" s="43"/>
      <c r="AT30" s="43"/>
      <c r="AU30" s="43"/>
      <c r="AV30" s="43"/>
      <c r="AW30" s="165"/>
      <c r="AX30" s="100"/>
      <c r="AY30" s="100"/>
      <c r="AZ30" s="100"/>
      <c r="BA30" s="44"/>
      <c r="BB30" s="44"/>
      <c r="BC30" s="100"/>
      <c r="BD30" s="100"/>
      <c r="BE30" s="100"/>
      <c r="BF30" s="100"/>
      <c r="BG30" s="100"/>
      <c r="BH30" s="97"/>
      <c r="BI30" s="165"/>
      <c r="BJ30" s="100"/>
      <c r="BK30" s="100"/>
      <c r="BL30" s="100"/>
      <c r="BM30" s="100"/>
      <c r="BN30" s="100"/>
      <c r="BO30" s="100"/>
      <c r="BP30" s="100"/>
      <c r="BQ30" s="100"/>
      <c r="BR30" s="100"/>
      <c r="BS30" s="100"/>
      <c r="BT30" s="200"/>
      <c r="BU30" s="165"/>
      <c r="BV30" s="100"/>
      <c r="BW30" s="100"/>
      <c r="BX30" s="100"/>
      <c r="BY30" s="100"/>
      <c r="BZ30" s="44"/>
      <c r="CA30" s="100"/>
      <c r="CB30" s="100"/>
      <c r="CC30" s="100"/>
      <c r="CD30" s="100"/>
      <c r="CE30" s="100"/>
      <c r="CF30" s="97"/>
      <c r="CG30" s="165"/>
      <c r="CH30" s="100"/>
      <c r="CI30" s="100"/>
      <c r="CJ30" s="100"/>
      <c r="CK30" s="100"/>
      <c r="CL30" s="100"/>
      <c r="CM30" s="100"/>
      <c r="CN30" s="100"/>
      <c r="CO30" s="100"/>
      <c r="CP30" s="100"/>
      <c r="CQ30" s="100"/>
      <c r="CR30" s="200"/>
    </row>
    <row r="31" spans="1:96" x14ac:dyDescent="0.25">
      <c r="A31" s="49"/>
      <c r="B31" s="96" t="s">
        <v>34</v>
      </c>
      <c r="C31" s="135">
        <v>5293</v>
      </c>
      <c r="D31" s="45">
        <v>6308</v>
      </c>
      <c r="E31" s="45">
        <v>6644</v>
      </c>
      <c r="F31" s="45">
        <v>8013</v>
      </c>
      <c r="G31" s="45">
        <v>7461</v>
      </c>
      <c r="H31" s="45">
        <v>7683</v>
      </c>
      <c r="I31" s="45">
        <v>7520</v>
      </c>
      <c r="J31" s="45">
        <v>6955</v>
      </c>
      <c r="K31" s="45">
        <v>6941</v>
      </c>
      <c r="L31" s="136">
        <v>6508</v>
      </c>
      <c r="M31" s="135">
        <v>5859</v>
      </c>
      <c r="N31" s="45">
        <v>5888</v>
      </c>
      <c r="O31" s="45">
        <v>7002</v>
      </c>
      <c r="P31" s="45">
        <v>7875</v>
      </c>
      <c r="Q31" s="45">
        <v>8468</v>
      </c>
      <c r="R31" s="45">
        <v>8954</v>
      </c>
      <c r="S31" s="45">
        <v>8841</v>
      </c>
      <c r="T31" s="45">
        <v>8730</v>
      </c>
      <c r="U31" s="45">
        <v>8837</v>
      </c>
      <c r="V31" s="45">
        <v>8466</v>
      </c>
      <c r="W31" s="45">
        <f>8331+21</f>
        <v>8352</v>
      </c>
      <c r="X31" s="136">
        <f>8236+15</f>
        <v>8251</v>
      </c>
      <c r="Y31" s="45">
        <f>8120+14</f>
        <v>8134</v>
      </c>
      <c r="Z31" s="45">
        <f>7691</f>
        <v>7691</v>
      </c>
      <c r="AA31" s="45">
        <v>8442</v>
      </c>
      <c r="AB31" s="45">
        <v>8672</v>
      </c>
      <c r="AC31" s="43">
        <v>7642</v>
      </c>
      <c r="AD31" s="43">
        <f>345+6141+26</f>
        <v>6512</v>
      </c>
      <c r="AE31" s="43">
        <v>5955</v>
      </c>
      <c r="AF31" s="43">
        <v>7670</v>
      </c>
      <c r="AG31" s="43">
        <v>8773</v>
      </c>
      <c r="AH31" s="43">
        <v>7672</v>
      </c>
      <c r="AI31" s="43">
        <f>309+5819+8</f>
        <v>6136</v>
      </c>
      <c r="AJ31" s="43">
        <f>371+6244+6</f>
        <v>6621</v>
      </c>
      <c r="AK31" s="143">
        <f>397+5865</f>
        <v>6262</v>
      </c>
      <c r="AL31" s="43">
        <f>382+5381</f>
        <v>5763</v>
      </c>
      <c r="AM31" s="43">
        <f>327+4993</f>
        <v>5320</v>
      </c>
      <c r="AN31" s="43">
        <f>378+5905</f>
        <v>6283</v>
      </c>
      <c r="AO31" s="43">
        <f>452+8784+6</f>
        <v>9242</v>
      </c>
      <c r="AP31" s="43">
        <f>472+9342</f>
        <v>9814</v>
      </c>
      <c r="AQ31" s="43">
        <f>SUM(441+8774+1)</f>
        <v>9216</v>
      </c>
      <c r="AR31" s="43">
        <f>386+7251+2</f>
        <v>7639</v>
      </c>
      <c r="AS31" s="43">
        <f>357+6482+2</f>
        <v>6841</v>
      </c>
      <c r="AT31" s="43">
        <f>422+6853+2</f>
        <v>7277</v>
      </c>
      <c r="AU31" s="43">
        <f>366+5865+9</f>
        <v>6240</v>
      </c>
      <c r="AV31" s="43">
        <f>439+6280+4</f>
        <v>6723</v>
      </c>
      <c r="AW31" s="165">
        <f>386+5304+1</f>
        <v>5691</v>
      </c>
      <c r="AX31" s="100">
        <f>387+5311</f>
        <v>5698</v>
      </c>
      <c r="AY31" s="100">
        <f>369+5224+2</f>
        <v>5595</v>
      </c>
      <c r="AZ31" s="100">
        <f>SUM(383+5907+2)</f>
        <v>6292</v>
      </c>
      <c r="BA31" s="100">
        <v>9837</v>
      </c>
      <c r="BB31" s="100">
        <v>7751</v>
      </c>
      <c r="BC31" s="100">
        <f>351+6535</f>
        <v>6886</v>
      </c>
      <c r="BD31" s="100">
        <f>(348+6765)</f>
        <v>7113</v>
      </c>
      <c r="BE31" s="100">
        <f>260+5005+1</f>
        <v>5266</v>
      </c>
      <c r="BF31" s="100">
        <f>251+4630+2</f>
        <v>4883</v>
      </c>
      <c r="BG31" s="100">
        <f>239+3979+1</f>
        <v>4219</v>
      </c>
      <c r="BH31" s="100">
        <v>4671</v>
      </c>
      <c r="BI31" s="165">
        <f t="shared" ref="BI31:BI32" si="77">AW31-AK31</f>
        <v>-571</v>
      </c>
      <c r="BJ31" s="100">
        <f t="shared" ref="BJ31:BJ36" si="78">AX31-AL31</f>
        <v>-65</v>
      </c>
      <c r="BK31" s="100">
        <f t="shared" ref="BK31:BK36" si="79">AY31-AM31</f>
        <v>275</v>
      </c>
      <c r="BL31" s="100">
        <f t="shared" ref="BL31:BO36" si="80">AZ31-AN31</f>
        <v>9</v>
      </c>
      <c r="BM31" s="100">
        <f t="shared" si="80"/>
        <v>595</v>
      </c>
      <c r="BN31" s="100">
        <f t="shared" si="80"/>
        <v>-2063</v>
      </c>
      <c r="BO31" s="100">
        <f t="shared" si="80"/>
        <v>-2330</v>
      </c>
      <c r="BP31" s="100">
        <f t="shared" ref="BP31:BP36" si="81">BD31-AR31</f>
        <v>-526</v>
      </c>
      <c r="BQ31" s="100">
        <f t="shared" ref="BQ31:BQ36" si="82">BE31-AS31</f>
        <v>-1575</v>
      </c>
      <c r="BR31" s="100">
        <f t="shared" ref="BR31:BT36" si="83">BF31-AT31</f>
        <v>-2394</v>
      </c>
      <c r="BS31" s="100">
        <f t="shared" si="83"/>
        <v>-2021</v>
      </c>
      <c r="BT31" s="200">
        <f t="shared" si="83"/>
        <v>-2052</v>
      </c>
      <c r="BU31" s="165">
        <f>263+3751</f>
        <v>4014</v>
      </c>
      <c r="BV31" s="100">
        <v>3751</v>
      </c>
      <c r="BW31" s="100">
        <v>3768</v>
      </c>
      <c r="BX31" s="100">
        <v>3317</v>
      </c>
      <c r="BY31" s="100">
        <f>196+3256+1</f>
        <v>3453</v>
      </c>
      <c r="BZ31" s="100">
        <v>3788</v>
      </c>
      <c r="CA31" s="100">
        <v>4117</v>
      </c>
      <c r="CB31" s="100">
        <v>4162</v>
      </c>
      <c r="CC31" s="100">
        <v>4232</v>
      </c>
      <c r="CD31" s="100">
        <v>3835</v>
      </c>
      <c r="CE31" s="100">
        <v>3100</v>
      </c>
      <c r="CF31" s="200"/>
      <c r="CG31" s="165">
        <f t="shared" ref="CG31:CG32" si="84">BU31-BI31</f>
        <v>4585</v>
      </c>
      <c r="CH31" s="100">
        <f t="shared" ref="CH31:CH36" si="85">BV31-BJ31</f>
        <v>3816</v>
      </c>
      <c r="CI31" s="100">
        <f t="shared" ref="CI31:CI36" si="86">BW31-BK31</f>
        <v>3493</v>
      </c>
      <c r="CJ31" s="100">
        <f t="shared" ref="CJ31:CJ36" si="87">BX31-BL31</f>
        <v>3308</v>
      </c>
      <c r="CK31" s="100">
        <f t="shared" ref="CK31:CK36" si="88">BY31-BM31</f>
        <v>2858</v>
      </c>
      <c r="CL31" s="100">
        <f t="shared" ref="CL31:CL36" si="89">BZ31-BN31</f>
        <v>5851</v>
      </c>
      <c r="CM31" s="100">
        <f t="shared" ref="CM31:CM36" si="90">CA31-BO31</f>
        <v>6447</v>
      </c>
      <c r="CN31" s="100">
        <f t="shared" ref="CN31:CN36" si="91">CB31-BP31</f>
        <v>4688</v>
      </c>
      <c r="CO31" s="100">
        <f t="shared" ref="CO31:CO36" si="92">CC31-BQ31</f>
        <v>5807</v>
      </c>
      <c r="CP31" s="100">
        <f t="shared" ref="CP31:CP36" si="93">CD31-BR31</f>
        <v>6229</v>
      </c>
      <c r="CQ31" s="100">
        <f t="shared" ref="CQ31:CQ36" si="94">CE31-BS31</f>
        <v>5121</v>
      </c>
      <c r="CR31" s="200">
        <f t="shared" ref="CR31:CR36" si="95">CF31-BT31</f>
        <v>2052</v>
      </c>
    </row>
    <row r="32" spans="1:96" x14ac:dyDescent="0.25">
      <c r="A32" s="49"/>
      <c r="B32" s="96" t="s">
        <v>35</v>
      </c>
      <c r="C32" s="135">
        <v>2441</v>
      </c>
      <c r="D32" s="45">
        <v>2594</v>
      </c>
      <c r="E32" s="45">
        <v>2446</v>
      </c>
      <c r="F32" s="45">
        <v>2850</v>
      </c>
      <c r="G32" s="45">
        <v>4252</v>
      </c>
      <c r="H32" s="45">
        <v>4312</v>
      </c>
      <c r="I32" s="45">
        <v>4316</v>
      </c>
      <c r="J32" s="45">
        <v>4296</v>
      </c>
      <c r="K32" s="45">
        <v>4090</v>
      </c>
      <c r="L32" s="136">
        <v>3276</v>
      </c>
      <c r="M32" s="135">
        <v>2727</v>
      </c>
      <c r="N32" s="45">
        <v>2693</v>
      </c>
      <c r="O32" s="45">
        <v>2589</v>
      </c>
      <c r="P32" s="45">
        <v>2805</v>
      </c>
      <c r="Q32" s="45">
        <v>2863</v>
      </c>
      <c r="R32" s="45">
        <v>1662</v>
      </c>
      <c r="S32" s="45">
        <v>3081</v>
      </c>
      <c r="T32" s="45">
        <v>3234</v>
      </c>
      <c r="U32" s="45">
        <v>3818</v>
      </c>
      <c r="V32" s="45">
        <v>3897</v>
      </c>
      <c r="W32" s="45">
        <v>4086</v>
      </c>
      <c r="X32" s="136">
        <v>4106</v>
      </c>
      <c r="Y32" s="45">
        <v>4264</v>
      </c>
      <c r="Z32" s="45">
        <v>3875</v>
      </c>
      <c r="AA32" s="45">
        <v>3727</v>
      </c>
      <c r="AB32" s="45">
        <v>3371</v>
      </c>
      <c r="AC32" s="43">
        <v>1752</v>
      </c>
      <c r="AD32" s="43">
        <f>77+2812</f>
        <v>2889</v>
      </c>
      <c r="AE32" s="43">
        <v>2626</v>
      </c>
      <c r="AF32" s="43">
        <v>3903</v>
      </c>
      <c r="AG32" s="43">
        <v>3020</v>
      </c>
      <c r="AH32" s="43">
        <v>2512</v>
      </c>
      <c r="AI32" s="43">
        <f>50+1624</f>
        <v>1674</v>
      </c>
      <c r="AJ32" s="43">
        <f>66+1705</f>
        <v>1771</v>
      </c>
      <c r="AK32" s="143">
        <f>71+1779</f>
        <v>1850</v>
      </c>
      <c r="AL32" s="43">
        <f>67+1694</f>
        <v>1761</v>
      </c>
      <c r="AM32" s="43">
        <f>61+1738</f>
        <v>1799</v>
      </c>
      <c r="AN32" s="43">
        <f>79+2236</f>
        <v>2315</v>
      </c>
      <c r="AO32" s="43">
        <f>105+6078</f>
        <v>6183</v>
      </c>
      <c r="AP32" s="43">
        <f>107+3235</f>
        <v>3342</v>
      </c>
      <c r="AQ32" s="43">
        <f>SUM(100+3090+0)</f>
        <v>3190</v>
      </c>
      <c r="AR32" s="43">
        <f>67+2139</f>
        <v>2206</v>
      </c>
      <c r="AS32" s="43">
        <f>68+2405</f>
        <v>2473</v>
      </c>
      <c r="AT32" s="43">
        <f>78+2415</f>
        <v>2493</v>
      </c>
      <c r="AU32" s="43">
        <f>57+2138</f>
        <v>2195</v>
      </c>
      <c r="AV32" s="43">
        <f>70+2372</f>
        <v>2442</v>
      </c>
      <c r="AW32" s="165">
        <f>87+2260</f>
        <v>2347</v>
      </c>
      <c r="AX32" s="100">
        <f>74+2363</f>
        <v>2437</v>
      </c>
      <c r="AY32" s="100">
        <f>78+2386</f>
        <v>2464</v>
      </c>
      <c r="AZ32" s="100">
        <f>SUM(103+2864)</f>
        <v>2967</v>
      </c>
      <c r="BA32" s="100">
        <v>3059</v>
      </c>
      <c r="BB32" s="100">
        <v>3122</v>
      </c>
      <c r="BC32" s="100">
        <f>99+2789</f>
        <v>2888</v>
      </c>
      <c r="BD32" s="100">
        <f>(94+3137)</f>
        <v>3231</v>
      </c>
      <c r="BE32" s="100">
        <f>93+2903</f>
        <v>2996</v>
      </c>
      <c r="BF32" s="100">
        <f>96+2820</f>
        <v>2916</v>
      </c>
      <c r="BG32" s="100">
        <f>84+2682</f>
        <v>2766</v>
      </c>
      <c r="BH32" s="100">
        <v>2801</v>
      </c>
      <c r="BI32" s="165">
        <f t="shared" si="77"/>
        <v>497</v>
      </c>
      <c r="BJ32" s="100">
        <f t="shared" si="78"/>
        <v>676</v>
      </c>
      <c r="BK32" s="100">
        <f t="shared" si="79"/>
        <v>665</v>
      </c>
      <c r="BL32" s="100">
        <f t="shared" si="80"/>
        <v>652</v>
      </c>
      <c r="BM32" s="100">
        <f t="shared" si="80"/>
        <v>-3124</v>
      </c>
      <c r="BN32" s="100">
        <f t="shared" si="80"/>
        <v>-220</v>
      </c>
      <c r="BO32" s="100">
        <f t="shared" si="80"/>
        <v>-302</v>
      </c>
      <c r="BP32" s="100">
        <f t="shared" si="81"/>
        <v>1025</v>
      </c>
      <c r="BQ32" s="100">
        <f t="shared" si="82"/>
        <v>523</v>
      </c>
      <c r="BR32" s="100">
        <f t="shared" si="83"/>
        <v>423</v>
      </c>
      <c r="BS32" s="100">
        <f t="shared" si="83"/>
        <v>571</v>
      </c>
      <c r="BT32" s="200">
        <f t="shared" si="83"/>
        <v>359</v>
      </c>
      <c r="BU32" s="165">
        <f>103+2712</f>
        <v>2815</v>
      </c>
      <c r="BV32" s="100">
        <v>2713</v>
      </c>
      <c r="BW32" s="100">
        <v>3076</v>
      </c>
      <c r="BX32" s="100">
        <v>3078</v>
      </c>
      <c r="BY32" s="100">
        <f>91+2844</f>
        <v>2935</v>
      </c>
      <c r="BZ32" s="100">
        <v>1991</v>
      </c>
      <c r="CA32" s="100">
        <v>1748</v>
      </c>
      <c r="CB32" s="100">
        <v>2258</v>
      </c>
      <c r="CC32" s="100">
        <v>2263</v>
      </c>
      <c r="CD32" s="100">
        <v>2153</v>
      </c>
      <c r="CE32" s="100">
        <v>2089</v>
      </c>
      <c r="CF32" s="200"/>
      <c r="CG32" s="165">
        <f t="shared" si="84"/>
        <v>2318</v>
      </c>
      <c r="CH32" s="100">
        <f t="shared" si="85"/>
        <v>2037</v>
      </c>
      <c r="CI32" s="100">
        <f t="shared" si="86"/>
        <v>2411</v>
      </c>
      <c r="CJ32" s="100">
        <f t="shared" si="87"/>
        <v>2426</v>
      </c>
      <c r="CK32" s="100">
        <f t="shared" si="88"/>
        <v>6059</v>
      </c>
      <c r="CL32" s="100">
        <f t="shared" si="89"/>
        <v>2211</v>
      </c>
      <c r="CM32" s="100">
        <f t="shared" si="90"/>
        <v>2050</v>
      </c>
      <c r="CN32" s="100">
        <f t="shared" si="91"/>
        <v>1233</v>
      </c>
      <c r="CO32" s="100">
        <f t="shared" si="92"/>
        <v>1740</v>
      </c>
      <c r="CP32" s="100">
        <f t="shared" si="93"/>
        <v>1730</v>
      </c>
      <c r="CQ32" s="100">
        <f t="shared" si="94"/>
        <v>1518</v>
      </c>
      <c r="CR32" s="200">
        <f t="shared" si="95"/>
        <v>-359</v>
      </c>
    </row>
    <row r="33" spans="1:96" x14ac:dyDescent="0.25">
      <c r="A33" s="49"/>
      <c r="B33" s="96" t="s">
        <v>36</v>
      </c>
      <c r="C33" s="135">
        <v>177</v>
      </c>
      <c r="D33" s="45">
        <v>213</v>
      </c>
      <c r="E33" s="45">
        <v>253</v>
      </c>
      <c r="F33" s="45">
        <v>282</v>
      </c>
      <c r="G33" s="45">
        <v>282</v>
      </c>
      <c r="H33" s="45">
        <v>289</v>
      </c>
      <c r="I33" s="45">
        <v>271</v>
      </c>
      <c r="J33" s="45">
        <v>229</v>
      </c>
      <c r="K33" s="45">
        <v>229</v>
      </c>
      <c r="L33" s="136">
        <v>222</v>
      </c>
      <c r="M33" s="135">
        <v>184</v>
      </c>
      <c r="N33" s="45">
        <v>231</v>
      </c>
      <c r="O33" s="45">
        <v>209</v>
      </c>
      <c r="P33" s="45">
        <v>362</v>
      </c>
      <c r="Q33" s="45">
        <v>486</v>
      </c>
      <c r="R33" s="45">
        <v>387</v>
      </c>
      <c r="S33" s="45">
        <v>347</v>
      </c>
      <c r="T33" s="45">
        <v>329</v>
      </c>
      <c r="U33" s="45">
        <v>292</v>
      </c>
      <c r="V33" s="45">
        <v>302</v>
      </c>
      <c r="W33" s="45">
        <v>352</v>
      </c>
      <c r="X33" s="136">
        <v>329</v>
      </c>
      <c r="Y33" s="45">
        <v>302</v>
      </c>
      <c r="Z33" s="45">
        <v>307</v>
      </c>
      <c r="AA33" s="45">
        <v>258</v>
      </c>
      <c r="AB33" s="45">
        <v>256</v>
      </c>
      <c r="AC33" s="43">
        <v>210</v>
      </c>
      <c r="AD33" s="43">
        <f>202+31+33+5</f>
        <v>271</v>
      </c>
      <c r="AE33" s="43">
        <v>226</v>
      </c>
      <c r="AF33" s="43">
        <v>347</v>
      </c>
      <c r="AG33" s="43">
        <v>294</v>
      </c>
      <c r="AH33" s="43">
        <v>313</v>
      </c>
      <c r="AI33" s="43">
        <f>206+36+2</f>
        <v>244</v>
      </c>
      <c r="AJ33" s="43">
        <v>263</v>
      </c>
      <c r="AK33" s="143">
        <v>262</v>
      </c>
      <c r="AL33" s="43">
        <v>263</v>
      </c>
      <c r="AM33" s="43">
        <v>222</v>
      </c>
      <c r="AN33" s="43">
        <f>214+40+37+7</f>
        <v>298</v>
      </c>
      <c r="AO33" s="43">
        <f>383+56+6+6</f>
        <v>451</v>
      </c>
      <c r="AP33" s="43">
        <f>409+68+6+4</f>
        <v>487</v>
      </c>
      <c r="AQ33" s="43">
        <f>SUM(320+56+1+3)</f>
        <v>380</v>
      </c>
      <c r="AR33" s="43">
        <f>272+46+2+4</f>
        <v>324</v>
      </c>
      <c r="AS33" s="43">
        <f>254+47+3+4</f>
        <v>308</v>
      </c>
      <c r="AT33" s="43">
        <f>241+46+2+4</f>
        <v>293</v>
      </c>
      <c r="AU33" s="43">
        <f>222+39+1+5</f>
        <v>267</v>
      </c>
      <c r="AV33" s="43">
        <f>239+47+1+3</f>
        <v>290</v>
      </c>
      <c r="AW33" s="165">
        <f>214+51+1+3</f>
        <v>269</v>
      </c>
      <c r="AX33" s="100">
        <f>217+62+3</f>
        <v>282</v>
      </c>
      <c r="AY33" s="100">
        <f>175+43+0+2</f>
        <v>220</v>
      </c>
      <c r="AZ33" s="100">
        <f>SUM(136+41+3)</f>
        <v>180</v>
      </c>
      <c r="BA33" s="100">
        <v>183</v>
      </c>
      <c r="BB33" s="100">
        <v>243</v>
      </c>
      <c r="BC33" s="100">
        <f>175+34+2</f>
        <v>211</v>
      </c>
      <c r="BD33" s="100">
        <f>(188+34+2+2)</f>
        <v>226</v>
      </c>
      <c r="BE33" s="100">
        <f>127+30+4+2</f>
        <v>163</v>
      </c>
      <c r="BF33" s="100">
        <f>103+21+2</f>
        <v>126</v>
      </c>
      <c r="BG33" s="100">
        <f>93+19+5</f>
        <v>117</v>
      </c>
      <c r="BH33" s="100">
        <v>107</v>
      </c>
      <c r="BI33" s="165">
        <f>AW33-AK33</f>
        <v>7</v>
      </c>
      <c r="BJ33" s="100">
        <f t="shared" si="78"/>
        <v>19</v>
      </c>
      <c r="BK33" s="100">
        <f t="shared" si="79"/>
        <v>-2</v>
      </c>
      <c r="BL33" s="100">
        <f t="shared" si="80"/>
        <v>-118</v>
      </c>
      <c r="BM33" s="100">
        <f t="shared" si="80"/>
        <v>-268</v>
      </c>
      <c r="BN33" s="100">
        <f t="shared" si="80"/>
        <v>-244</v>
      </c>
      <c r="BO33" s="100">
        <f t="shared" si="80"/>
        <v>-169</v>
      </c>
      <c r="BP33" s="100">
        <f t="shared" si="81"/>
        <v>-98</v>
      </c>
      <c r="BQ33" s="100">
        <f t="shared" si="82"/>
        <v>-145</v>
      </c>
      <c r="BR33" s="100">
        <f t="shared" si="83"/>
        <v>-167</v>
      </c>
      <c r="BS33" s="100">
        <f t="shared" si="83"/>
        <v>-150</v>
      </c>
      <c r="BT33" s="200">
        <f t="shared" si="83"/>
        <v>-183</v>
      </c>
      <c r="BU33" s="165">
        <f>82+16</f>
        <v>98</v>
      </c>
      <c r="BV33" s="100">
        <v>94</v>
      </c>
      <c r="BW33" s="100">
        <v>84</v>
      </c>
      <c r="BX33" s="100">
        <v>90</v>
      </c>
      <c r="BY33" s="100">
        <f>85+16+1</f>
        <v>102</v>
      </c>
      <c r="BZ33" s="100">
        <v>110</v>
      </c>
      <c r="CA33" s="100">
        <v>147</v>
      </c>
      <c r="CB33" s="100">
        <v>144</v>
      </c>
      <c r="CC33" s="100">
        <v>149</v>
      </c>
      <c r="CD33" s="100">
        <v>120</v>
      </c>
      <c r="CE33" s="100">
        <v>92</v>
      </c>
      <c r="CF33" s="200"/>
      <c r="CG33" s="165">
        <f>BU33-BI33</f>
        <v>91</v>
      </c>
      <c r="CH33" s="100">
        <f t="shared" si="85"/>
        <v>75</v>
      </c>
      <c r="CI33" s="100">
        <f t="shared" si="86"/>
        <v>86</v>
      </c>
      <c r="CJ33" s="100">
        <f t="shared" si="87"/>
        <v>208</v>
      </c>
      <c r="CK33" s="100">
        <f t="shared" si="88"/>
        <v>370</v>
      </c>
      <c r="CL33" s="100">
        <f t="shared" si="89"/>
        <v>354</v>
      </c>
      <c r="CM33" s="100">
        <f t="shared" si="90"/>
        <v>316</v>
      </c>
      <c r="CN33" s="100">
        <f t="shared" si="91"/>
        <v>242</v>
      </c>
      <c r="CO33" s="100">
        <f t="shared" si="92"/>
        <v>294</v>
      </c>
      <c r="CP33" s="100">
        <f t="shared" si="93"/>
        <v>287</v>
      </c>
      <c r="CQ33" s="100">
        <f t="shared" si="94"/>
        <v>242</v>
      </c>
      <c r="CR33" s="200">
        <f t="shared" si="95"/>
        <v>183</v>
      </c>
    </row>
    <row r="34" spans="1:96" x14ac:dyDescent="0.25">
      <c r="A34" s="49"/>
      <c r="B34" s="96" t="s">
        <v>37</v>
      </c>
      <c r="C34" s="135">
        <v>8</v>
      </c>
      <c r="D34" s="45">
        <v>14</v>
      </c>
      <c r="E34" s="45">
        <v>16</v>
      </c>
      <c r="F34" s="45">
        <v>21</v>
      </c>
      <c r="G34" s="45">
        <v>20</v>
      </c>
      <c r="H34" s="45">
        <v>23</v>
      </c>
      <c r="I34" s="45">
        <v>18</v>
      </c>
      <c r="J34" s="45">
        <v>17</v>
      </c>
      <c r="K34" s="45">
        <v>22</v>
      </c>
      <c r="L34" s="136">
        <v>11</v>
      </c>
      <c r="M34" s="135">
        <v>8</v>
      </c>
      <c r="N34" s="45">
        <v>12</v>
      </c>
      <c r="O34" s="45">
        <v>20</v>
      </c>
      <c r="P34" s="45">
        <v>49</v>
      </c>
      <c r="Q34" s="45">
        <v>52</v>
      </c>
      <c r="R34" s="45">
        <v>47</v>
      </c>
      <c r="S34" s="45">
        <v>40</v>
      </c>
      <c r="T34" s="45">
        <v>40</v>
      </c>
      <c r="U34" s="45">
        <v>37</v>
      </c>
      <c r="V34" s="45">
        <v>33</v>
      </c>
      <c r="W34" s="45">
        <v>34</v>
      </c>
      <c r="X34" s="136">
        <v>27</v>
      </c>
      <c r="Y34" s="45">
        <v>29</v>
      </c>
      <c r="Z34" s="45">
        <v>36</v>
      </c>
      <c r="AA34" s="45">
        <v>28</v>
      </c>
      <c r="AB34" s="45">
        <v>29</v>
      </c>
      <c r="AC34" s="43">
        <v>18</v>
      </c>
      <c r="AD34" s="43">
        <f>9+5+20</f>
        <v>34</v>
      </c>
      <c r="AE34" s="43">
        <v>19</v>
      </c>
      <c r="AF34" s="43">
        <v>26</v>
      </c>
      <c r="AG34" s="43">
        <v>23</v>
      </c>
      <c r="AH34" s="43">
        <v>23</v>
      </c>
      <c r="AI34" s="43">
        <f>6+5+6+2</f>
        <v>19</v>
      </c>
      <c r="AJ34" s="43">
        <v>18</v>
      </c>
      <c r="AK34" s="143">
        <v>12</v>
      </c>
      <c r="AL34" s="43">
        <v>13</v>
      </c>
      <c r="AM34" s="43">
        <v>10</v>
      </c>
      <c r="AN34" s="43">
        <f>5+3+12+7</f>
        <v>27</v>
      </c>
      <c r="AO34" s="43">
        <f>15+9+15+3</f>
        <v>42</v>
      </c>
      <c r="AP34" s="43">
        <f>18+9+6+4</f>
        <v>37</v>
      </c>
      <c r="AQ34" s="43">
        <f>SUM(17+5+3+4)</f>
        <v>29</v>
      </c>
      <c r="AR34" s="43">
        <f>12+7+5+3</f>
        <v>27</v>
      </c>
      <c r="AS34" s="43">
        <f>11+7+5+4</f>
        <v>27</v>
      </c>
      <c r="AT34" s="43">
        <f>10+6+7+3</f>
        <v>26</v>
      </c>
      <c r="AU34" s="43">
        <f>5+4+4+3</f>
        <v>16</v>
      </c>
      <c r="AV34" s="43">
        <f>9+5+2+3</f>
        <v>19</v>
      </c>
      <c r="AW34" s="165">
        <f>3+5+2+3</f>
        <v>13</v>
      </c>
      <c r="AX34" s="100">
        <f>6+4+2+2</f>
        <v>14</v>
      </c>
      <c r="AY34" s="100">
        <f>4+3+1+3</f>
        <v>11</v>
      </c>
      <c r="AZ34" s="100">
        <f>SUM(5+7+2+2)</f>
        <v>16</v>
      </c>
      <c r="BA34" s="100">
        <v>13</v>
      </c>
      <c r="BB34" s="100">
        <v>17</v>
      </c>
      <c r="BC34" s="100">
        <f>10+3+4+1</f>
        <v>18</v>
      </c>
      <c r="BD34" s="100">
        <f>(8+4+1+2)</f>
        <v>15</v>
      </c>
      <c r="BE34" s="100">
        <f>8+2+5+1</f>
        <v>16</v>
      </c>
      <c r="BF34" s="100">
        <f>6+2+2+1</f>
        <v>11</v>
      </c>
      <c r="BG34" s="100">
        <f>5+2+2+1</f>
        <v>10</v>
      </c>
      <c r="BH34" s="100">
        <v>10</v>
      </c>
      <c r="BI34" s="165">
        <f t="shared" ref="BI34:BI36" si="96">AW34-AK34</f>
        <v>1</v>
      </c>
      <c r="BJ34" s="100">
        <f t="shared" si="78"/>
        <v>1</v>
      </c>
      <c r="BK34" s="100">
        <f t="shared" si="79"/>
        <v>1</v>
      </c>
      <c r="BL34" s="100">
        <f t="shared" si="80"/>
        <v>-11</v>
      </c>
      <c r="BM34" s="100">
        <f t="shared" si="80"/>
        <v>-29</v>
      </c>
      <c r="BN34" s="100">
        <f t="shared" si="80"/>
        <v>-20</v>
      </c>
      <c r="BO34" s="100">
        <f t="shared" si="80"/>
        <v>-11</v>
      </c>
      <c r="BP34" s="100">
        <f t="shared" si="81"/>
        <v>-12</v>
      </c>
      <c r="BQ34" s="100">
        <f t="shared" si="82"/>
        <v>-11</v>
      </c>
      <c r="BR34" s="100">
        <f t="shared" si="83"/>
        <v>-15</v>
      </c>
      <c r="BS34" s="100">
        <f t="shared" si="83"/>
        <v>-6</v>
      </c>
      <c r="BT34" s="200">
        <f t="shared" si="83"/>
        <v>-9</v>
      </c>
      <c r="BU34" s="165">
        <f>4+1+1</f>
        <v>6</v>
      </c>
      <c r="BV34" s="100">
        <v>6</v>
      </c>
      <c r="BW34" s="100">
        <v>6</v>
      </c>
      <c r="BX34" s="100">
        <v>4</v>
      </c>
      <c r="BY34" s="100">
        <f>1+1+4+1</f>
        <v>7</v>
      </c>
      <c r="BZ34" s="100">
        <v>7</v>
      </c>
      <c r="CA34" s="100">
        <v>9</v>
      </c>
      <c r="CB34" s="100">
        <v>11</v>
      </c>
      <c r="CC34" s="100">
        <v>0</v>
      </c>
      <c r="CD34" s="100">
        <v>11</v>
      </c>
      <c r="CE34" s="100">
        <v>13</v>
      </c>
      <c r="CF34" s="200"/>
      <c r="CG34" s="165">
        <f t="shared" ref="CG34:CG36" si="97">BU34-BI34</f>
        <v>5</v>
      </c>
      <c r="CH34" s="100">
        <f t="shared" si="85"/>
        <v>5</v>
      </c>
      <c r="CI34" s="100">
        <f t="shared" si="86"/>
        <v>5</v>
      </c>
      <c r="CJ34" s="100">
        <f t="shared" si="87"/>
        <v>15</v>
      </c>
      <c r="CK34" s="100">
        <f t="shared" si="88"/>
        <v>36</v>
      </c>
      <c r="CL34" s="100">
        <f t="shared" si="89"/>
        <v>27</v>
      </c>
      <c r="CM34" s="100">
        <f t="shared" si="90"/>
        <v>20</v>
      </c>
      <c r="CN34" s="100">
        <f t="shared" si="91"/>
        <v>23</v>
      </c>
      <c r="CO34" s="100">
        <f t="shared" si="92"/>
        <v>11</v>
      </c>
      <c r="CP34" s="100">
        <f t="shared" si="93"/>
        <v>26</v>
      </c>
      <c r="CQ34" s="100">
        <f t="shared" si="94"/>
        <v>19</v>
      </c>
      <c r="CR34" s="200">
        <f t="shared" si="95"/>
        <v>9</v>
      </c>
    </row>
    <row r="35" spans="1:96" x14ac:dyDescent="0.25">
      <c r="A35" s="49"/>
      <c r="B35" s="96" t="s">
        <v>38</v>
      </c>
      <c r="C35" s="135">
        <v>0</v>
      </c>
      <c r="D35" s="45">
        <v>0</v>
      </c>
      <c r="E35" s="45">
        <v>0</v>
      </c>
      <c r="F35" s="45">
        <v>0</v>
      </c>
      <c r="G35" s="45">
        <v>0</v>
      </c>
      <c r="H35" s="45">
        <v>0</v>
      </c>
      <c r="I35" s="45">
        <v>1</v>
      </c>
      <c r="J35" s="45">
        <v>0</v>
      </c>
      <c r="K35" s="45">
        <v>1</v>
      </c>
      <c r="L35" s="136">
        <v>0</v>
      </c>
      <c r="M35" s="135">
        <v>1</v>
      </c>
      <c r="N35" s="45">
        <v>1</v>
      </c>
      <c r="O35" s="45">
        <v>0</v>
      </c>
      <c r="P35" s="45">
        <v>0</v>
      </c>
      <c r="Q35" s="45">
        <v>3</v>
      </c>
      <c r="R35" s="45">
        <v>4</v>
      </c>
      <c r="S35" s="45">
        <v>1</v>
      </c>
      <c r="T35" s="45">
        <v>2</v>
      </c>
      <c r="U35" s="45">
        <v>1</v>
      </c>
      <c r="V35" s="45">
        <v>1</v>
      </c>
      <c r="W35" s="45">
        <v>1</v>
      </c>
      <c r="X35" s="136">
        <v>0</v>
      </c>
      <c r="Y35" s="45">
        <v>1</v>
      </c>
      <c r="Z35" s="45">
        <v>0</v>
      </c>
      <c r="AA35" s="45">
        <v>0</v>
      </c>
      <c r="AB35" s="45">
        <v>0</v>
      </c>
      <c r="AC35" s="43">
        <v>1</v>
      </c>
      <c r="AD35" s="43">
        <v>1</v>
      </c>
      <c r="AE35" s="43">
        <v>1</v>
      </c>
      <c r="AF35" s="43">
        <v>1</v>
      </c>
      <c r="AG35" s="43">
        <v>2</v>
      </c>
      <c r="AH35" s="43">
        <v>1</v>
      </c>
      <c r="AI35" s="43">
        <f>1</f>
        <v>1</v>
      </c>
      <c r="AJ35" s="43">
        <v>1</v>
      </c>
      <c r="AK35" s="143">
        <v>1</v>
      </c>
      <c r="AL35" s="43">
        <v>1</v>
      </c>
      <c r="AM35" s="43">
        <v>0</v>
      </c>
      <c r="AN35" s="43">
        <v>1</v>
      </c>
      <c r="AO35" s="43">
        <v>0</v>
      </c>
      <c r="AP35" s="43">
        <v>0</v>
      </c>
      <c r="AQ35" s="43">
        <v>0</v>
      </c>
      <c r="AR35" s="43">
        <v>0</v>
      </c>
      <c r="AS35" s="43">
        <v>0</v>
      </c>
      <c r="AT35" s="43">
        <v>0</v>
      </c>
      <c r="AU35" s="43">
        <v>0</v>
      </c>
      <c r="AV35" s="43">
        <v>0</v>
      </c>
      <c r="AW35" s="165">
        <v>1</v>
      </c>
      <c r="AX35" s="100">
        <v>0</v>
      </c>
      <c r="AY35" s="124">
        <v>1</v>
      </c>
      <c r="AZ35" s="100">
        <f>SUM(1)</f>
        <v>1</v>
      </c>
      <c r="BA35" s="100">
        <v>1</v>
      </c>
      <c r="BB35" s="100">
        <v>1</v>
      </c>
      <c r="BC35" s="100">
        <v>0</v>
      </c>
      <c r="BD35" s="100"/>
      <c r="BE35" s="100">
        <v>0</v>
      </c>
      <c r="BF35" s="100">
        <v>0</v>
      </c>
      <c r="BG35" s="100">
        <v>0</v>
      </c>
      <c r="BH35" s="100">
        <v>1</v>
      </c>
      <c r="BI35" s="165">
        <f t="shared" si="96"/>
        <v>0</v>
      </c>
      <c r="BJ35" s="100">
        <f t="shared" si="78"/>
        <v>-1</v>
      </c>
      <c r="BK35" s="124">
        <f t="shared" si="79"/>
        <v>1</v>
      </c>
      <c r="BL35" s="100">
        <f t="shared" si="80"/>
        <v>0</v>
      </c>
      <c r="BM35" s="100">
        <f t="shared" si="80"/>
        <v>1</v>
      </c>
      <c r="BN35" s="100">
        <f t="shared" si="80"/>
        <v>1</v>
      </c>
      <c r="BO35" s="100">
        <f t="shared" si="80"/>
        <v>0</v>
      </c>
      <c r="BP35" s="100">
        <f t="shared" si="81"/>
        <v>0</v>
      </c>
      <c r="BQ35" s="100">
        <f t="shared" si="82"/>
        <v>0</v>
      </c>
      <c r="BR35" s="100">
        <f t="shared" si="83"/>
        <v>0</v>
      </c>
      <c r="BS35" s="100">
        <f t="shared" si="83"/>
        <v>0</v>
      </c>
      <c r="BT35" s="200">
        <f t="shared" si="83"/>
        <v>1</v>
      </c>
      <c r="BU35" s="165">
        <v>1</v>
      </c>
      <c r="BV35" s="100">
        <v>0</v>
      </c>
      <c r="BW35" s="100">
        <v>1</v>
      </c>
      <c r="BX35" s="100">
        <v>0</v>
      </c>
      <c r="BY35" s="100">
        <v>1</v>
      </c>
      <c r="BZ35" s="100">
        <v>0</v>
      </c>
      <c r="CA35" s="100">
        <v>0</v>
      </c>
      <c r="CB35" s="100">
        <v>0</v>
      </c>
      <c r="CC35" s="100">
        <v>0</v>
      </c>
      <c r="CD35" s="100">
        <v>0</v>
      </c>
      <c r="CE35" s="100">
        <v>0</v>
      </c>
      <c r="CF35" s="200"/>
      <c r="CG35" s="165">
        <f t="shared" si="97"/>
        <v>1</v>
      </c>
      <c r="CH35" s="100">
        <f t="shared" si="85"/>
        <v>1</v>
      </c>
      <c r="CI35" s="124">
        <f t="shared" si="86"/>
        <v>0</v>
      </c>
      <c r="CJ35" s="100">
        <f t="shared" si="87"/>
        <v>0</v>
      </c>
      <c r="CK35" s="100">
        <f t="shared" si="88"/>
        <v>0</v>
      </c>
      <c r="CL35" s="100">
        <f t="shared" si="89"/>
        <v>-1</v>
      </c>
      <c r="CM35" s="100">
        <f t="shared" si="90"/>
        <v>0</v>
      </c>
      <c r="CN35" s="100">
        <f t="shared" si="91"/>
        <v>0</v>
      </c>
      <c r="CO35" s="100">
        <f t="shared" si="92"/>
        <v>0</v>
      </c>
      <c r="CP35" s="100">
        <f t="shared" si="93"/>
        <v>0</v>
      </c>
      <c r="CQ35" s="100">
        <f t="shared" si="94"/>
        <v>0</v>
      </c>
      <c r="CR35" s="200">
        <f t="shared" si="95"/>
        <v>-1</v>
      </c>
    </row>
    <row r="36" spans="1:96" x14ac:dyDescent="0.25">
      <c r="A36" s="49"/>
      <c r="B36" s="96" t="s">
        <v>39</v>
      </c>
      <c r="C36" s="135">
        <f t="shared" ref="C36:AF36" si="98">SUM(C31:C35)</f>
        <v>7919</v>
      </c>
      <c r="D36" s="45">
        <f t="shared" si="98"/>
        <v>9129</v>
      </c>
      <c r="E36" s="45">
        <f t="shared" si="98"/>
        <v>9359</v>
      </c>
      <c r="F36" s="45">
        <f t="shared" si="98"/>
        <v>11166</v>
      </c>
      <c r="G36" s="45">
        <f t="shared" si="98"/>
        <v>12015</v>
      </c>
      <c r="H36" s="45">
        <f t="shared" si="98"/>
        <v>12307</v>
      </c>
      <c r="I36" s="45">
        <f t="shared" si="98"/>
        <v>12126</v>
      </c>
      <c r="J36" s="45">
        <f t="shared" si="98"/>
        <v>11497</v>
      </c>
      <c r="K36" s="45">
        <f t="shared" si="98"/>
        <v>11283</v>
      </c>
      <c r="L36" s="136">
        <f t="shared" si="98"/>
        <v>10017</v>
      </c>
      <c r="M36" s="135">
        <f t="shared" si="98"/>
        <v>8779</v>
      </c>
      <c r="N36" s="45">
        <f t="shared" si="98"/>
        <v>8825</v>
      </c>
      <c r="O36" s="45">
        <f t="shared" si="98"/>
        <v>9820</v>
      </c>
      <c r="P36" s="45">
        <f t="shared" si="98"/>
        <v>11091</v>
      </c>
      <c r="Q36" s="45">
        <f t="shared" si="98"/>
        <v>11872</v>
      </c>
      <c r="R36" s="45">
        <f t="shared" si="98"/>
        <v>11054</v>
      </c>
      <c r="S36" s="45">
        <f t="shared" si="98"/>
        <v>12310</v>
      </c>
      <c r="T36" s="45">
        <f t="shared" si="98"/>
        <v>12335</v>
      </c>
      <c r="U36" s="45">
        <f t="shared" si="98"/>
        <v>12985</v>
      </c>
      <c r="V36" s="45">
        <f t="shared" si="98"/>
        <v>12699</v>
      </c>
      <c r="W36" s="45">
        <f t="shared" si="98"/>
        <v>12825</v>
      </c>
      <c r="X36" s="136">
        <f t="shared" si="98"/>
        <v>12713</v>
      </c>
      <c r="Y36" s="45">
        <f t="shared" si="98"/>
        <v>12730</v>
      </c>
      <c r="Z36" s="45">
        <f t="shared" si="98"/>
        <v>11909</v>
      </c>
      <c r="AA36" s="45">
        <f t="shared" si="98"/>
        <v>12455</v>
      </c>
      <c r="AB36" s="45">
        <f t="shared" si="98"/>
        <v>12328</v>
      </c>
      <c r="AC36" s="45">
        <f t="shared" si="98"/>
        <v>9623</v>
      </c>
      <c r="AD36" s="45">
        <f t="shared" si="98"/>
        <v>9707</v>
      </c>
      <c r="AE36" s="45">
        <f t="shared" si="98"/>
        <v>8827</v>
      </c>
      <c r="AF36" s="45">
        <f t="shared" si="98"/>
        <v>11947</v>
      </c>
      <c r="AG36" s="45">
        <f t="shared" ref="AG36:AN36" si="99">SUM(AG31:AG35)</f>
        <v>12112</v>
      </c>
      <c r="AH36" s="45">
        <f t="shared" si="99"/>
        <v>10521</v>
      </c>
      <c r="AI36" s="45">
        <f t="shared" si="99"/>
        <v>8074</v>
      </c>
      <c r="AJ36" s="45">
        <f t="shared" si="99"/>
        <v>8674</v>
      </c>
      <c r="AK36" s="135">
        <f t="shared" si="99"/>
        <v>8387</v>
      </c>
      <c r="AL36" s="45">
        <f t="shared" si="99"/>
        <v>7801</v>
      </c>
      <c r="AM36" s="45">
        <f t="shared" si="99"/>
        <v>7351</v>
      </c>
      <c r="AN36" s="45">
        <f t="shared" si="99"/>
        <v>8924</v>
      </c>
      <c r="AO36" s="45">
        <f t="shared" ref="AO36:AT36" si="100">SUM(AO31:AO35)</f>
        <v>15918</v>
      </c>
      <c r="AP36" s="45">
        <f t="shared" si="100"/>
        <v>13680</v>
      </c>
      <c r="AQ36" s="45">
        <f t="shared" si="100"/>
        <v>12815</v>
      </c>
      <c r="AR36" s="45">
        <f t="shared" si="100"/>
        <v>10196</v>
      </c>
      <c r="AS36" s="45">
        <f t="shared" si="100"/>
        <v>9649</v>
      </c>
      <c r="AT36" s="45">
        <f t="shared" si="100"/>
        <v>10089</v>
      </c>
      <c r="AU36" s="45">
        <f t="shared" ref="AU36:BB36" si="101">SUM(AU31:AU35)</f>
        <v>8718</v>
      </c>
      <c r="AV36" s="45">
        <f t="shared" si="101"/>
        <v>9474</v>
      </c>
      <c r="AW36" s="167">
        <f t="shared" si="101"/>
        <v>8321</v>
      </c>
      <c r="AX36" s="101">
        <f t="shared" si="101"/>
        <v>8431</v>
      </c>
      <c r="AY36" s="101">
        <f t="shared" si="101"/>
        <v>8291</v>
      </c>
      <c r="AZ36" s="100">
        <f t="shared" si="101"/>
        <v>9456</v>
      </c>
      <c r="BA36" s="100">
        <f t="shared" si="101"/>
        <v>13093</v>
      </c>
      <c r="BB36" s="100">
        <f t="shared" si="101"/>
        <v>11134</v>
      </c>
      <c r="BC36" s="100">
        <f t="shared" ref="BC36:BH36" si="102">SUM(BC31:BC35)</f>
        <v>10003</v>
      </c>
      <c r="BD36" s="100">
        <f t="shared" si="102"/>
        <v>10585</v>
      </c>
      <c r="BE36" s="100">
        <f t="shared" si="102"/>
        <v>8441</v>
      </c>
      <c r="BF36" s="100">
        <f t="shared" si="102"/>
        <v>7936</v>
      </c>
      <c r="BG36" s="100">
        <f t="shared" si="102"/>
        <v>7112</v>
      </c>
      <c r="BH36" s="100">
        <f t="shared" si="102"/>
        <v>7590</v>
      </c>
      <c r="BI36" s="165">
        <f t="shared" si="96"/>
        <v>-66</v>
      </c>
      <c r="BJ36" s="101">
        <f t="shared" si="78"/>
        <v>630</v>
      </c>
      <c r="BK36" s="101">
        <f t="shared" si="79"/>
        <v>940</v>
      </c>
      <c r="BL36" s="100">
        <f t="shared" si="80"/>
        <v>532</v>
      </c>
      <c r="BM36" s="100">
        <f t="shared" si="80"/>
        <v>-2825</v>
      </c>
      <c r="BN36" s="100">
        <f t="shared" si="80"/>
        <v>-2546</v>
      </c>
      <c r="BO36" s="100">
        <f t="shared" si="80"/>
        <v>-2812</v>
      </c>
      <c r="BP36" s="100">
        <f t="shared" si="81"/>
        <v>389</v>
      </c>
      <c r="BQ36" s="100">
        <f t="shared" si="82"/>
        <v>-1208</v>
      </c>
      <c r="BR36" s="100">
        <f t="shared" si="83"/>
        <v>-2153</v>
      </c>
      <c r="BS36" s="100">
        <f t="shared" si="83"/>
        <v>-1606</v>
      </c>
      <c r="BT36" s="200">
        <f t="shared" si="83"/>
        <v>-1884</v>
      </c>
      <c r="BU36" s="167">
        <f t="shared" ref="BU36:CF36" si="103">SUM(BU31:BU35)</f>
        <v>6934</v>
      </c>
      <c r="BV36" s="101">
        <f t="shared" si="103"/>
        <v>6564</v>
      </c>
      <c r="BW36" s="101">
        <f t="shared" si="103"/>
        <v>6935</v>
      </c>
      <c r="BX36" s="101">
        <f t="shared" si="103"/>
        <v>6489</v>
      </c>
      <c r="BY36" s="101">
        <f t="shared" si="103"/>
        <v>6498</v>
      </c>
      <c r="BZ36" s="100">
        <v>5896</v>
      </c>
      <c r="CA36" s="100">
        <f t="shared" si="103"/>
        <v>6021</v>
      </c>
      <c r="CB36" s="100">
        <f t="shared" si="103"/>
        <v>6575</v>
      </c>
      <c r="CC36" s="100">
        <f t="shared" si="103"/>
        <v>6644</v>
      </c>
      <c r="CD36" s="100">
        <f t="shared" si="103"/>
        <v>6119</v>
      </c>
      <c r="CE36" s="100">
        <f t="shared" si="103"/>
        <v>5294</v>
      </c>
      <c r="CF36" s="200">
        <f t="shared" si="103"/>
        <v>0</v>
      </c>
      <c r="CG36" s="165">
        <f t="shared" si="97"/>
        <v>7000</v>
      </c>
      <c r="CH36" s="101">
        <f t="shared" si="85"/>
        <v>5934</v>
      </c>
      <c r="CI36" s="101">
        <f t="shared" si="86"/>
        <v>5995</v>
      </c>
      <c r="CJ36" s="100">
        <f t="shared" si="87"/>
        <v>5957</v>
      </c>
      <c r="CK36" s="100">
        <f t="shared" si="88"/>
        <v>9323</v>
      </c>
      <c r="CL36" s="100">
        <f t="shared" si="89"/>
        <v>8442</v>
      </c>
      <c r="CM36" s="100">
        <f t="shared" si="90"/>
        <v>8833</v>
      </c>
      <c r="CN36" s="100">
        <f t="shared" si="91"/>
        <v>6186</v>
      </c>
      <c r="CO36" s="100">
        <f t="shared" si="92"/>
        <v>7852</v>
      </c>
      <c r="CP36" s="100">
        <f t="shared" si="93"/>
        <v>8272</v>
      </c>
      <c r="CQ36" s="100">
        <f t="shared" si="94"/>
        <v>6900</v>
      </c>
      <c r="CR36" s="200">
        <f t="shared" si="95"/>
        <v>1884</v>
      </c>
    </row>
    <row r="37" spans="1:96" x14ac:dyDescent="0.25">
      <c r="A37" s="49">
        <f>+A30+1</f>
        <v>5</v>
      </c>
      <c r="B37" s="103" t="s">
        <v>22</v>
      </c>
      <c r="C37" s="135"/>
      <c r="D37" s="45"/>
      <c r="E37" s="45"/>
      <c r="F37" s="45"/>
      <c r="G37" s="45"/>
      <c r="H37" s="45"/>
      <c r="I37" s="45"/>
      <c r="J37" s="45"/>
      <c r="K37" s="45"/>
      <c r="L37" s="136"/>
      <c r="M37" s="135"/>
      <c r="N37" s="45"/>
      <c r="O37" s="45"/>
      <c r="P37" s="45"/>
      <c r="Q37" s="45"/>
      <c r="R37" s="45"/>
      <c r="S37" s="45"/>
      <c r="T37" s="45"/>
      <c r="U37" s="45"/>
      <c r="V37" s="45"/>
      <c r="W37" s="45"/>
      <c r="X37" s="136"/>
      <c r="Y37" s="45"/>
      <c r="Z37" s="45"/>
      <c r="AA37" s="45"/>
      <c r="AB37" s="45"/>
      <c r="AC37" s="45"/>
      <c r="AD37" s="43"/>
      <c r="AE37" s="43"/>
      <c r="AF37" s="43"/>
      <c r="AG37" s="43"/>
      <c r="AH37" s="43"/>
      <c r="AI37" s="43"/>
      <c r="AJ37" s="43"/>
      <c r="AK37" s="143"/>
      <c r="AL37" s="43"/>
      <c r="AM37" s="43"/>
      <c r="AN37" s="43"/>
      <c r="AO37" s="43"/>
      <c r="AP37" s="43"/>
      <c r="AQ37" s="43"/>
      <c r="AR37" s="43"/>
      <c r="AS37" s="43"/>
      <c r="AT37" s="43"/>
      <c r="AU37" s="43"/>
      <c r="AV37" s="43"/>
      <c r="AW37" s="165"/>
      <c r="AX37" s="100"/>
      <c r="AY37" s="100"/>
      <c r="AZ37" s="100"/>
      <c r="BA37" s="44"/>
      <c r="BB37" s="44"/>
      <c r="BC37" s="100"/>
      <c r="BD37" s="100"/>
      <c r="BE37" s="100"/>
      <c r="BF37" s="100"/>
      <c r="BG37" s="100"/>
      <c r="BH37" s="97"/>
      <c r="BI37" s="165"/>
      <c r="BJ37" s="100"/>
      <c r="BK37" s="100"/>
      <c r="BL37" s="100"/>
      <c r="BM37" s="100"/>
      <c r="BN37" s="100"/>
      <c r="BO37" s="100"/>
      <c r="BP37" s="100"/>
      <c r="BQ37" s="100"/>
      <c r="BR37" s="100"/>
      <c r="BS37" s="100"/>
      <c r="BT37" s="200"/>
      <c r="BU37" s="165"/>
      <c r="BV37" s="100"/>
      <c r="BW37" s="100"/>
      <c r="BX37" s="100"/>
      <c r="BY37" s="100"/>
      <c r="BZ37" s="44"/>
      <c r="CA37" s="100"/>
      <c r="CB37" s="100"/>
      <c r="CC37" s="100"/>
      <c r="CD37" s="100"/>
      <c r="CE37" s="100"/>
      <c r="CF37" s="97"/>
      <c r="CG37" s="165"/>
      <c r="CH37" s="100"/>
      <c r="CI37" s="100"/>
      <c r="CJ37" s="100"/>
      <c r="CK37" s="100"/>
      <c r="CL37" s="100"/>
      <c r="CM37" s="100"/>
      <c r="CN37" s="100"/>
      <c r="CO37" s="100"/>
      <c r="CP37" s="100"/>
      <c r="CQ37" s="100"/>
      <c r="CR37" s="200"/>
    </row>
    <row r="38" spans="1:96" x14ac:dyDescent="0.25">
      <c r="A38" s="49"/>
      <c r="B38" s="96" t="s">
        <v>34</v>
      </c>
      <c r="C38" s="135">
        <v>3667</v>
      </c>
      <c r="D38" s="45">
        <v>3500</v>
      </c>
      <c r="E38" s="45">
        <v>3951</v>
      </c>
      <c r="F38" s="45">
        <v>5033</v>
      </c>
      <c r="G38" s="45">
        <v>6056</v>
      </c>
      <c r="H38" s="45">
        <v>6331</v>
      </c>
      <c r="I38" s="45">
        <v>6164</v>
      </c>
      <c r="J38" s="45">
        <v>5868</v>
      </c>
      <c r="K38" s="45">
        <v>5709</v>
      </c>
      <c r="L38" s="136">
        <v>5403</v>
      </c>
      <c r="M38" s="135">
        <v>4593</v>
      </c>
      <c r="N38" s="45">
        <v>3723</v>
      </c>
      <c r="O38" s="45">
        <v>3891</v>
      </c>
      <c r="P38" s="45">
        <v>5009</v>
      </c>
      <c r="Q38" s="45">
        <v>5980</v>
      </c>
      <c r="R38" s="45">
        <v>7051</v>
      </c>
      <c r="S38" s="45">
        <v>7183</v>
      </c>
      <c r="T38" s="45">
        <v>7761</v>
      </c>
      <c r="U38" s="45">
        <v>7602</v>
      </c>
      <c r="V38" s="45">
        <v>7307</v>
      </c>
      <c r="W38" s="45">
        <f>7396+16</f>
        <v>7412</v>
      </c>
      <c r="X38" s="136">
        <f>7227+5</f>
        <v>7232</v>
      </c>
      <c r="Y38" s="45">
        <f>7252+4</f>
        <v>7256</v>
      </c>
      <c r="Z38" s="45">
        <f>7185</f>
        <v>7185</v>
      </c>
      <c r="AA38" s="45">
        <v>6968</v>
      </c>
      <c r="AB38" s="45">
        <v>7440</v>
      </c>
      <c r="AC38" s="43">
        <v>6312</v>
      </c>
      <c r="AD38" s="43">
        <f>298+5326+4</f>
        <v>5628</v>
      </c>
      <c r="AE38" s="43">
        <v>6533</v>
      </c>
      <c r="AF38" s="43">
        <v>6426</v>
      </c>
      <c r="AG38" s="43">
        <f>325+5952+8</f>
        <v>6285</v>
      </c>
      <c r="AH38" s="43">
        <v>6614</v>
      </c>
      <c r="AI38" s="43">
        <f>303+6144+6</f>
        <v>6453</v>
      </c>
      <c r="AJ38" s="43">
        <f>310+6047+5</f>
        <v>6362</v>
      </c>
      <c r="AK38" s="143">
        <f>344+5692</f>
        <v>6036</v>
      </c>
      <c r="AL38" s="43">
        <f>340+5287</f>
        <v>5627</v>
      </c>
      <c r="AM38" s="43">
        <f>329+4769</f>
        <v>5098</v>
      </c>
      <c r="AN38" s="43">
        <f>319+4474</f>
        <v>4793</v>
      </c>
      <c r="AO38" s="43">
        <f>1412+23124+60</f>
        <v>24596</v>
      </c>
      <c r="AP38" s="43">
        <f>385+343+415+255+7121+5766+6570+4065</f>
        <v>24920</v>
      </c>
      <c r="AQ38" s="43">
        <f>SUM(1401+24009+2)</f>
        <v>25412</v>
      </c>
      <c r="AR38" s="43">
        <f>1345+24179+3</f>
        <v>25527</v>
      </c>
      <c r="AS38" s="43">
        <f>1076+17083+3</f>
        <v>18162</v>
      </c>
      <c r="AT38" s="43">
        <f>1101+17199+3</f>
        <v>18303</v>
      </c>
      <c r="AU38" s="43">
        <f>1142+16490+3</f>
        <v>17635</v>
      </c>
      <c r="AV38" s="43">
        <f>1107+15844+3</f>
        <v>16954</v>
      </c>
      <c r="AW38" s="165">
        <f>1038+14041</f>
        <v>15079</v>
      </c>
      <c r="AX38" s="100">
        <f>1122+14535</f>
        <v>15657</v>
      </c>
      <c r="AY38" s="100">
        <f>1096+13709</f>
        <v>14805</v>
      </c>
      <c r="AZ38" s="100">
        <f>SUM(1001+12959+2)</f>
        <v>13962</v>
      </c>
      <c r="BA38" s="192">
        <f>SUM(1264+20674+2)</f>
        <v>21940</v>
      </c>
      <c r="BB38" s="192">
        <v>20216</v>
      </c>
      <c r="BC38" s="100">
        <f>SUM(1379+24017)</f>
        <v>25396</v>
      </c>
      <c r="BD38" s="100">
        <v>12788</v>
      </c>
      <c r="BE38" s="100">
        <f>704+12177+0</f>
        <v>12881</v>
      </c>
      <c r="BF38" s="100">
        <f>650+11683+1</f>
        <v>12334</v>
      </c>
      <c r="BG38" s="100">
        <f>593+10767</f>
        <v>11360</v>
      </c>
      <c r="BH38" s="100">
        <v>11163</v>
      </c>
      <c r="BI38" s="165">
        <f t="shared" ref="BI38:BI43" si="104">AW38-AK38</f>
        <v>9043</v>
      </c>
      <c r="BJ38" s="100">
        <f t="shared" ref="BJ38:BJ43" si="105">AX38-AL38</f>
        <v>10030</v>
      </c>
      <c r="BK38" s="100">
        <f t="shared" ref="BK38:BK43" si="106">AY38-AM38</f>
        <v>9707</v>
      </c>
      <c r="BL38" s="100">
        <f t="shared" ref="BL38:BO43" si="107">AZ38-AN38</f>
        <v>9169</v>
      </c>
      <c r="BM38" s="100">
        <f t="shared" si="107"/>
        <v>-2656</v>
      </c>
      <c r="BN38" s="100">
        <f t="shared" si="107"/>
        <v>-4704</v>
      </c>
      <c r="BO38" s="100">
        <f t="shared" si="107"/>
        <v>-16</v>
      </c>
      <c r="BP38" s="100">
        <f t="shared" ref="BP38:BP43" si="108">BD38-AR38</f>
        <v>-12739</v>
      </c>
      <c r="BQ38" s="100">
        <f t="shared" ref="BQ38:BQ43" si="109">BE38-AS38</f>
        <v>-5281</v>
      </c>
      <c r="BR38" s="100">
        <f t="shared" ref="BR38:BT43" si="110">BF38-AT38</f>
        <v>-5969</v>
      </c>
      <c r="BS38" s="100">
        <f t="shared" si="110"/>
        <v>-6275</v>
      </c>
      <c r="BT38" s="200">
        <f t="shared" si="110"/>
        <v>-5791</v>
      </c>
      <c r="BU38" s="165">
        <f>619+9977</f>
        <v>10596</v>
      </c>
      <c r="BV38" s="100">
        <v>9834</v>
      </c>
      <c r="BW38" s="100">
        <v>9032</v>
      </c>
      <c r="BX38" s="100">
        <v>7483</v>
      </c>
      <c r="BY38" s="100">
        <f>448+5953+8</f>
        <v>6409</v>
      </c>
      <c r="BZ38" s="192">
        <v>7654</v>
      </c>
      <c r="CA38" s="100">
        <v>7918</v>
      </c>
      <c r="CB38" s="100">
        <v>7776</v>
      </c>
      <c r="CC38" s="100">
        <v>7708</v>
      </c>
      <c r="CD38" s="100">
        <v>7407</v>
      </c>
      <c r="CE38" s="100">
        <v>6246</v>
      </c>
      <c r="CF38" s="200"/>
      <c r="CG38" s="165">
        <f t="shared" ref="CG38:CG43" si="111">BU38-BI38</f>
        <v>1553</v>
      </c>
      <c r="CH38" s="100">
        <f t="shared" ref="CH38:CH43" si="112">BV38-BJ38</f>
        <v>-196</v>
      </c>
      <c r="CI38" s="100">
        <f t="shared" ref="CI38:CI43" si="113">BW38-BK38</f>
        <v>-675</v>
      </c>
      <c r="CJ38" s="100">
        <f t="shared" ref="CJ38:CJ43" si="114">BX38-BL38</f>
        <v>-1686</v>
      </c>
      <c r="CK38" s="100">
        <f t="shared" ref="CK38:CK43" si="115">BY38-BM38</f>
        <v>9065</v>
      </c>
      <c r="CL38" s="100">
        <f t="shared" ref="CL38:CL43" si="116">BZ38-BN38</f>
        <v>12358</v>
      </c>
      <c r="CM38" s="100">
        <f t="shared" ref="CM38:CM43" si="117">CA38-BO38</f>
        <v>7934</v>
      </c>
      <c r="CN38" s="100">
        <f t="shared" ref="CN38:CN43" si="118">CB38-BP38</f>
        <v>20515</v>
      </c>
      <c r="CO38" s="100">
        <f t="shared" ref="CO38:CO43" si="119">CC38-BQ38</f>
        <v>12989</v>
      </c>
      <c r="CP38" s="100">
        <f t="shared" ref="CP38:CP43" si="120">CD38-BR38</f>
        <v>13376</v>
      </c>
      <c r="CQ38" s="100">
        <f t="shared" ref="CQ38:CQ43" si="121">CE38-BS38</f>
        <v>12521</v>
      </c>
      <c r="CR38" s="200">
        <f t="shared" ref="CR38:CR43" si="122">CF38-BT38</f>
        <v>5791</v>
      </c>
    </row>
    <row r="39" spans="1:96" x14ac:dyDescent="0.25">
      <c r="A39" s="49"/>
      <c r="B39" s="96" t="s">
        <v>35</v>
      </c>
      <c r="C39" s="135">
        <v>2373</v>
      </c>
      <c r="D39" s="45">
        <v>1959</v>
      </c>
      <c r="E39" s="45">
        <v>1660</v>
      </c>
      <c r="F39" s="45">
        <v>2110</v>
      </c>
      <c r="G39" s="45">
        <v>2505</v>
      </c>
      <c r="H39" s="45">
        <v>3908</v>
      </c>
      <c r="I39" s="45">
        <v>3978</v>
      </c>
      <c r="J39" s="45">
        <v>3934</v>
      </c>
      <c r="K39" s="45">
        <v>3764</v>
      </c>
      <c r="L39" s="136">
        <v>3013</v>
      </c>
      <c r="M39" s="135">
        <v>2380</v>
      </c>
      <c r="N39" s="45">
        <v>2273</v>
      </c>
      <c r="O39" s="45">
        <v>2122</v>
      </c>
      <c r="P39" s="45">
        <v>2311</v>
      </c>
      <c r="Q39" s="45">
        <v>2316</v>
      </c>
      <c r="R39" s="45">
        <v>1208</v>
      </c>
      <c r="S39" s="45">
        <v>1126</v>
      </c>
      <c r="T39" s="45">
        <v>2721</v>
      </c>
      <c r="U39" s="45">
        <v>3075</v>
      </c>
      <c r="V39" s="45">
        <v>3331</v>
      </c>
      <c r="W39" s="45">
        <v>3647</v>
      </c>
      <c r="X39" s="136">
        <v>3528</v>
      </c>
      <c r="Y39" s="45">
        <v>3651</v>
      </c>
      <c r="Z39" s="45">
        <v>3686</v>
      </c>
      <c r="AA39" s="45">
        <v>3221</v>
      </c>
      <c r="AB39" s="45">
        <v>3019</v>
      </c>
      <c r="AC39" s="43">
        <v>1539</v>
      </c>
      <c r="AD39" s="43">
        <f>70+2638</f>
        <v>2708</v>
      </c>
      <c r="AE39" s="43">
        <v>2593</v>
      </c>
      <c r="AF39" s="43">
        <v>2651</v>
      </c>
      <c r="AG39" s="43">
        <f>53+3421</f>
        <v>3474</v>
      </c>
      <c r="AH39" s="43">
        <v>2556</v>
      </c>
      <c r="AI39" s="43">
        <f>47+1860</f>
        <v>1907</v>
      </c>
      <c r="AJ39" s="43">
        <f>59+1956</f>
        <v>2015</v>
      </c>
      <c r="AK39" s="143">
        <f>70+1917</f>
        <v>1987</v>
      </c>
      <c r="AL39" s="43">
        <f>69+1862</f>
        <v>1931</v>
      </c>
      <c r="AM39" s="43">
        <f>66+1842</f>
        <v>1908</v>
      </c>
      <c r="AN39" s="43">
        <f>64+1677</f>
        <v>1741</v>
      </c>
      <c r="AO39" s="43">
        <f>245+8361+1</f>
        <v>8607</v>
      </c>
      <c r="AP39" s="43">
        <f>84+73+65+32+2484+2060+1670+826</f>
        <v>7294</v>
      </c>
      <c r="AQ39" s="43">
        <f>SUM(252+7202+1)</f>
        <v>7455</v>
      </c>
      <c r="AR39" s="43">
        <f>261+7560+1</f>
        <v>7822</v>
      </c>
      <c r="AS39" s="43">
        <f>220+7186</f>
        <v>7406</v>
      </c>
      <c r="AT39" s="43">
        <f>220+7064</f>
        <v>7284</v>
      </c>
      <c r="AU39" s="43">
        <f>175+6298</f>
        <v>6473</v>
      </c>
      <c r="AV39" s="43">
        <f>182+6459</f>
        <v>6641</v>
      </c>
      <c r="AW39" s="165">
        <f>265+7499</f>
        <v>7764</v>
      </c>
      <c r="AX39" s="100">
        <f>225+6630</f>
        <v>6855</v>
      </c>
      <c r="AY39" s="100">
        <f>243+6557</f>
        <v>6800</v>
      </c>
      <c r="AZ39" s="100">
        <f>SUM(285+7124)</f>
        <v>7409</v>
      </c>
      <c r="BA39" s="192">
        <v>7830</v>
      </c>
      <c r="BB39" s="192">
        <v>9798</v>
      </c>
      <c r="BC39" s="100">
        <f>SUM(380+11789+1)</f>
        <v>12170</v>
      </c>
      <c r="BD39" s="100">
        <v>7937</v>
      </c>
      <c r="BE39" s="100">
        <f>244+7931</f>
        <v>8175</v>
      </c>
      <c r="BF39" s="100">
        <f>251+7742</f>
        <v>7993</v>
      </c>
      <c r="BG39" s="100">
        <f>261+7990</f>
        <v>8251</v>
      </c>
      <c r="BH39" s="100">
        <v>7983</v>
      </c>
      <c r="BI39" s="165">
        <f t="shared" si="104"/>
        <v>5777</v>
      </c>
      <c r="BJ39" s="100">
        <f t="shared" si="105"/>
        <v>4924</v>
      </c>
      <c r="BK39" s="100">
        <f t="shared" si="106"/>
        <v>4892</v>
      </c>
      <c r="BL39" s="100">
        <f t="shared" si="107"/>
        <v>5668</v>
      </c>
      <c r="BM39" s="100">
        <f t="shared" si="107"/>
        <v>-777</v>
      </c>
      <c r="BN39" s="100">
        <f t="shared" si="107"/>
        <v>2504</v>
      </c>
      <c r="BO39" s="100">
        <f t="shared" si="107"/>
        <v>4715</v>
      </c>
      <c r="BP39" s="100">
        <f t="shared" si="108"/>
        <v>115</v>
      </c>
      <c r="BQ39" s="100">
        <f t="shared" si="109"/>
        <v>769</v>
      </c>
      <c r="BR39" s="100">
        <f t="shared" si="110"/>
        <v>709</v>
      </c>
      <c r="BS39" s="100">
        <f t="shared" si="110"/>
        <v>1778</v>
      </c>
      <c r="BT39" s="200">
        <f t="shared" si="110"/>
        <v>1342</v>
      </c>
      <c r="BU39" s="165">
        <f>278+7897</f>
        <v>8175</v>
      </c>
      <c r="BV39" s="100">
        <v>7904</v>
      </c>
      <c r="BW39" s="100">
        <v>8235</v>
      </c>
      <c r="BX39" s="100">
        <v>8539</v>
      </c>
      <c r="BY39" s="100">
        <f>249+7550</f>
        <v>7799</v>
      </c>
      <c r="BZ39" s="192">
        <v>5486</v>
      </c>
      <c r="CA39" s="100">
        <v>4557</v>
      </c>
      <c r="CB39" s="100">
        <v>4248</v>
      </c>
      <c r="CC39" s="100">
        <v>4226</v>
      </c>
      <c r="CD39" s="100">
        <v>4523</v>
      </c>
      <c r="CE39" s="100">
        <v>4829</v>
      </c>
      <c r="CF39" s="200"/>
      <c r="CG39" s="165">
        <f t="shared" si="111"/>
        <v>2398</v>
      </c>
      <c r="CH39" s="100">
        <f t="shared" si="112"/>
        <v>2980</v>
      </c>
      <c r="CI39" s="100">
        <f t="shared" si="113"/>
        <v>3343</v>
      </c>
      <c r="CJ39" s="100">
        <f t="shared" si="114"/>
        <v>2871</v>
      </c>
      <c r="CK39" s="100">
        <f t="shared" si="115"/>
        <v>8576</v>
      </c>
      <c r="CL39" s="100">
        <f t="shared" si="116"/>
        <v>2982</v>
      </c>
      <c r="CM39" s="100">
        <f t="shared" si="117"/>
        <v>-158</v>
      </c>
      <c r="CN39" s="100">
        <f t="shared" si="118"/>
        <v>4133</v>
      </c>
      <c r="CO39" s="100">
        <f t="shared" si="119"/>
        <v>3457</v>
      </c>
      <c r="CP39" s="100">
        <f t="shared" si="120"/>
        <v>3814</v>
      </c>
      <c r="CQ39" s="100">
        <f t="shared" si="121"/>
        <v>3051</v>
      </c>
      <c r="CR39" s="200">
        <f t="shared" si="122"/>
        <v>-1342</v>
      </c>
    </row>
    <row r="40" spans="1:96" x14ac:dyDescent="0.25">
      <c r="A40" s="49"/>
      <c r="B40" s="96" t="s">
        <v>36</v>
      </c>
      <c r="C40" s="135">
        <v>93</v>
      </c>
      <c r="D40" s="45">
        <v>106</v>
      </c>
      <c r="E40" s="45">
        <v>146</v>
      </c>
      <c r="F40" s="45">
        <v>157</v>
      </c>
      <c r="G40" s="45">
        <v>186</v>
      </c>
      <c r="H40" s="45">
        <v>205</v>
      </c>
      <c r="I40" s="45">
        <v>203</v>
      </c>
      <c r="J40" s="45">
        <v>153</v>
      </c>
      <c r="K40" s="45">
        <v>160</v>
      </c>
      <c r="L40" s="136">
        <v>153</v>
      </c>
      <c r="M40" s="135">
        <v>165</v>
      </c>
      <c r="N40" s="45">
        <v>113</v>
      </c>
      <c r="O40" s="45">
        <v>128</v>
      </c>
      <c r="P40" s="45">
        <v>181</v>
      </c>
      <c r="Q40" s="45">
        <v>257</v>
      </c>
      <c r="R40" s="45">
        <v>275</v>
      </c>
      <c r="S40" s="45">
        <v>277</v>
      </c>
      <c r="T40" s="45">
        <v>249</v>
      </c>
      <c r="U40" s="45">
        <v>217</v>
      </c>
      <c r="V40" s="45">
        <v>212</v>
      </c>
      <c r="W40" s="45">
        <v>247</v>
      </c>
      <c r="X40" s="136">
        <v>274</v>
      </c>
      <c r="Y40" s="45">
        <v>265</v>
      </c>
      <c r="Z40" s="45">
        <v>220</v>
      </c>
      <c r="AA40" s="45">
        <v>201</v>
      </c>
      <c r="AB40" s="45">
        <v>219</v>
      </c>
      <c r="AC40" s="43">
        <v>151</v>
      </c>
      <c r="AD40" s="43">
        <f>142+26+2</f>
        <v>170</v>
      </c>
      <c r="AE40" s="43">
        <v>243</v>
      </c>
      <c r="AF40" s="43">
        <v>247</v>
      </c>
      <c r="AG40" s="43">
        <v>263</v>
      </c>
      <c r="AH40" s="43">
        <v>248</v>
      </c>
      <c r="AI40" s="43">
        <f>201+34+2</f>
        <v>237</v>
      </c>
      <c r="AJ40" s="43">
        <v>220</v>
      </c>
      <c r="AK40" s="143">
        <v>220</v>
      </c>
      <c r="AL40" s="43">
        <v>208</v>
      </c>
      <c r="AM40" s="43">
        <v>193</v>
      </c>
      <c r="AN40" s="43">
        <f>154+31+2</f>
        <v>187</v>
      </c>
      <c r="AO40" s="43">
        <f>1174+199+47+12</f>
        <v>1432</v>
      </c>
      <c r="AP40" s="43">
        <f>255+210+201+129+45+40+44+23+2+2+4</f>
        <v>955</v>
      </c>
      <c r="AQ40" s="43">
        <f>SUM(813+148+0+4)</f>
        <v>965</v>
      </c>
      <c r="AR40" s="43">
        <f>832+149+4</f>
        <v>985</v>
      </c>
      <c r="AS40" s="43">
        <f>690+115+4</f>
        <v>809</v>
      </c>
      <c r="AT40" s="43">
        <f>660+118+1+3</f>
        <v>782</v>
      </c>
      <c r="AU40" s="43">
        <f>589+99+2+5</f>
        <v>695</v>
      </c>
      <c r="AV40" s="43">
        <f>569+109+3+3</f>
        <v>684</v>
      </c>
      <c r="AW40" s="165">
        <f>520+117+3+4</f>
        <v>644</v>
      </c>
      <c r="AX40" s="100">
        <f>554+138+4</f>
        <v>696</v>
      </c>
      <c r="AY40" s="100">
        <f>455+107+2+1</f>
        <v>565</v>
      </c>
      <c r="AZ40" s="100">
        <f>SUM(367+103+1+3)</f>
        <v>474</v>
      </c>
      <c r="BA40" s="192">
        <v>426</v>
      </c>
      <c r="BB40" s="192">
        <v>685</v>
      </c>
      <c r="BC40" s="100">
        <f>SUM(857+159+3+6)</f>
        <v>1025</v>
      </c>
      <c r="BD40" s="100">
        <v>337</v>
      </c>
      <c r="BE40" s="100">
        <f>254+64+4</f>
        <v>322</v>
      </c>
      <c r="BF40" s="100">
        <f>194+53+1</f>
        <v>248</v>
      </c>
      <c r="BG40" s="100">
        <f>165+41</f>
        <v>206</v>
      </c>
      <c r="BH40" s="100">
        <v>200</v>
      </c>
      <c r="BI40" s="165">
        <f t="shared" si="104"/>
        <v>424</v>
      </c>
      <c r="BJ40" s="100">
        <f t="shared" si="105"/>
        <v>488</v>
      </c>
      <c r="BK40" s="100">
        <f t="shared" si="106"/>
        <v>372</v>
      </c>
      <c r="BL40" s="100">
        <f t="shared" si="107"/>
        <v>287</v>
      </c>
      <c r="BM40" s="100">
        <f t="shared" si="107"/>
        <v>-1006</v>
      </c>
      <c r="BN40" s="100">
        <f t="shared" si="107"/>
        <v>-270</v>
      </c>
      <c r="BO40" s="100">
        <f t="shared" si="107"/>
        <v>60</v>
      </c>
      <c r="BP40" s="100">
        <f t="shared" si="108"/>
        <v>-648</v>
      </c>
      <c r="BQ40" s="100">
        <f t="shared" si="109"/>
        <v>-487</v>
      </c>
      <c r="BR40" s="100">
        <f t="shared" si="110"/>
        <v>-534</v>
      </c>
      <c r="BS40" s="100">
        <f t="shared" si="110"/>
        <v>-489</v>
      </c>
      <c r="BT40" s="200">
        <f t="shared" si="110"/>
        <v>-484</v>
      </c>
      <c r="BU40" s="165">
        <f>149+32+1</f>
        <v>182</v>
      </c>
      <c r="BV40" s="100">
        <v>170</v>
      </c>
      <c r="BW40" s="100">
        <v>137</v>
      </c>
      <c r="BX40" s="100">
        <v>156</v>
      </c>
      <c r="BY40" s="100">
        <f>111+29</f>
        <v>140</v>
      </c>
      <c r="BZ40" s="192">
        <v>163</v>
      </c>
      <c r="CA40" s="100">
        <v>189</v>
      </c>
      <c r="CB40" s="100">
        <v>192</v>
      </c>
      <c r="CC40" s="100">
        <v>192</v>
      </c>
      <c r="CD40" s="100">
        <v>202</v>
      </c>
      <c r="CE40" s="100">
        <v>144</v>
      </c>
      <c r="CF40" s="200"/>
      <c r="CG40" s="165">
        <f t="shared" si="111"/>
        <v>-242</v>
      </c>
      <c r="CH40" s="100">
        <f t="shared" si="112"/>
        <v>-318</v>
      </c>
      <c r="CI40" s="100">
        <f t="shared" si="113"/>
        <v>-235</v>
      </c>
      <c r="CJ40" s="100">
        <f t="shared" si="114"/>
        <v>-131</v>
      </c>
      <c r="CK40" s="100">
        <f t="shared" si="115"/>
        <v>1146</v>
      </c>
      <c r="CL40" s="100">
        <f t="shared" si="116"/>
        <v>433</v>
      </c>
      <c r="CM40" s="100">
        <f t="shared" si="117"/>
        <v>129</v>
      </c>
      <c r="CN40" s="100">
        <f t="shared" si="118"/>
        <v>840</v>
      </c>
      <c r="CO40" s="100">
        <f t="shared" si="119"/>
        <v>679</v>
      </c>
      <c r="CP40" s="100">
        <f t="shared" si="120"/>
        <v>736</v>
      </c>
      <c r="CQ40" s="100">
        <f t="shared" si="121"/>
        <v>633</v>
      </c>
      <c r="CR40" s="200">
        <f t="shared" si="122"/>
        <v>484</v>
      </c>
    </row>
    <row r="41" spans="1:96" x14ac:dyDescent="0.25">
      <c r="A41" s="49"/>
      <c r="B41" s="96" t="s">
        <v>37</v>
      </c>
      <c r="C41" s="135">
        <v>6</v>
      </c>
      <c r="D41" s="45">
        <v>6</v>
      </c>
      <c r="E41" s="45">
        <v>7</v>
      </c>
      <c r="F41" s="45">
        <v>9</v>
      </c>
      <c r="G41" s="45">
        <v>11</v>
      </c>
      <c r="H41" s="45">
        <v>15</v>
      </c>
      <c r="I41" s="45">
        <v>14</v>
      </c>
      <c r="J41" s="45">
        <v>12</v>
      </c>
      <c r="K41" s="45">
        <v>12</v>
      </c>
      <c r="L41" s="136">
        <v>6</v>
      </c>
      <c r="M41" s="135">
        <v>4</v>
      </c>
      <c r="N41" s="45">
        <v>3</v>
      </c>
      <c r="O41" s="45">
        <v>2</v>
      </c>
      <c r="P41" s="45">
        <v>16</v>
      </c>
      <c r="Q41" s="45">
        <v>29</v>
      </c>
      <c r="R41" s="45">
        <v>34</v>
      </c>
      <c r="S41" s="45">
        <v>37</v>
      </c>
      <c r="T41" s="45">
        <v>33</v>
      </c>
      <c r="U41" s="45">
        <v>31</v>
      </c>
      <c r="V41" s="45">
        <v>28</v>
      </c>
      <c r="W41" s="45">
        <v>24</v>
      </c>
      <c r="X41" s="136">
        <v>18</v>
      </c>
      <c r="Y41" s="45">
        <v>18</v>
      </c>
      <c r="Z41" s="45">
        <v>17</v>
      </c>
      <c r="AA41" s="45">
        <v>12</v>
      </c>
      <c r="AB41" s="45">
        <v>12</v>
      </c>
      <c r="AC41" s="43">
        <v>10</v>
      </c>
      <c r="AD41" s="43">
        <f>5+4+7</f>
        <v>16</v>
      </c>
      <c r="AE41" s="43">
        <v>13</v>
      </c>
      <c r="AF41" s="43">
        <v>19</v>
      </c>
      <c r="AG41" s="43">
        <v>18</v>
      </c>
      <c r="AH41" s="43">
        <v>24</v>
      </c>
      <c r="AI41" s="43">
        <f>6+4+5</f>
        <v>15</v>
      </c>
      <c r="AJ41" s="43">
        <v>15</v>
      </c>
      <c r="AK41" s="143">
        <v>10</v>
      </c>
      <c r="AL41" s="43">
        <v>9</v>
      </c>
      <c r="AM41" s="43">
        <v>7</v>
      </c>
      <c r="AN41" s="43">
        <f>3+3+2+1</f>
        <v>9</v>
      </c>
      <c r="AO41" s="43">
        <f>47+35+18+11</f>
        <v>111</v>
      </c>
      <c r="AP41" s="43">
        <f>7+9+4+1+6+5+4+1+5+7+4+3</f>
        <v>56</v>
      </c>
      <c r="AQ41" s="43">
        <f>SUM(19+11+4+7)</f>
        <v>41</v>
      </c>
      <c r="AR41" s="43">
        <f>30+16+7+9</f>
        <v>62</v>
      </c>
      <c r="AS41" s="43">
        <f>27+12+4+10</f>
        <v>53</v>
      </c>
      <c r="AT41" s="43">
        <f>24+9+9+7</f>
        <v>49</v>
      </c>
      <c r="AU41" s="43">
        <f>18+10+8+8</f>
        <v>44</v>
      </c>
      <c r="AV41" s="43">
        <f>14+11+6+7</f>
        <v>38</v>
      </c>
      <c r="AW41" s="165">
        <f>13+10+3+6</f>
        <v>32</v>
      </c>
      <c r="AX41" s="100">
        <f>13+12+4+7</f>
        <v>36</v>
      </c>
      <c r="AY41" s="100">
        <f>8+10+5+7</f>
        <v>30</v>
      </c>
      <c r="AZ41" s="100">
        <f>SUM(11+11+4+5)</f>
        <v>31</v>
      </c>
      <c r="BA41" s="192">
        <f>SUM(11+7+4+3)</f>
        <v>25</v>
      </c>
      <c r="BB41" s="192">
        <v>44</v>
      </c>
      <c r="BC41" s="100">
        <f>SUM(37+24+9+3)</f>
        <v>73</v>
      </c>
      <c r="BD41" s="100">
        <v>35</v>
      </c>
      <c r="BE41" s="100">
        <f>19+7+4+2</f>
        <v>32</v>
      </c>
      <c r="BF41" s="100">
        <f>18+8+2+4</f>
        <v>32</v>
      </c>
      <c r="BG41" s="100">
        <f>16+8+3</f>
        <v>27</v>
      </c>
      <c r="BH41" s="100">
        <v>27</v>
      </c>
      <c r="BI41" s="165">
        <f t="shared" si="104"/>
        <v>22</v>
      </c>
      <c r="BJ41" s="100">
        <f t="shared" si="105"/>
        <v>27</v>
      </c>
      <c r="BK41" s="100">
        <f t="shared" si="106"/>
        <v>23</v>
      </c>
      <c r="BL41" s="100">
        <f t="shared" si="107"/>
        <v>22</v>
      </c>
      <c r="BM41" s="100">
        <f t="shared" si="107"/>
        <v>-86</v>
      </c>
      <c r="BN41" s="100">
        <f t="shared" si="107"/>
        <v>-12</v>
      </c>
      <c r="BO41" s="100">
        <f t="shared" si="107"/>
        <v>32</v>
      </c>
      <c r="BP41" s="100">
        <f t="shared" si="108"/>
        <v>-27</v>
      </c>
      <c r="BQ41" s="100">
        <f t="shared" si="109"/>
        <v>-21</v>
      </c>
      <c r="BR41" s="100">
        <f t="shared" si="110"/>
        <v>-17</v>
      </c>
      <c r="BS41" s="100">
        <f t="shared" si="110"/>
        <v>-17</v>
      </c>
      <c r="BT41" s="200">
        <f t="shared" si="110"/>
        <v>-11</v>
      </c>
      <c r="BU41" s="165">
        <f>14+5+4+1</f>
        <v>24</v>
      </c>
      <c r="BV41" s="100">
        <v>22</v>
      </c>
      <c r="BW41" s="100">
        <v>18</v>
      </c>
      <c r="BX41" s="100">
        <v>166</v>
      </c>
      <c r="BY41" s="100">
        <f>10+3+1</f>
        <v>14</v>
      </c>
      <c r="BZ41" s="192">
        <v>17</v>
      </c>
      <c r="CA41" s="100">
        <v>28</v>
      </c>
      <c r="CB41" s="100">
        <v>19</v>
      </c>
      <c r="CC41" s="100">
        <v>0</v>
      </c>
      <c r="CD41" s="100">
        <v>0</v>
      </c>
      <c r="CE41" s="100">
        <v>20</v>
      </c>
      <c r="CF41" s="200"/>
      <c r="CG41" s="165">
        <f t="shared" si="111"/>
        <v>2</v>
      </c>
      <c r="CH41" s="100">
        <f t="shared" si="112"/>
        <v>-5</v>
      </c>
      <c r="CI41" s="100">
        <f t="shared" si="113"/>
        <v>-5</v>
      </c>
      <c r="CJ41" s="100">
        <f t="shared" si="114"/>
        <v>144</v>
      </c>
      <c r="CK41" s="100">
        <f t="shared" si="115"/>
        <v>100</v>
      </c>
      <c r="CL41" s="100">
        <f t="shared" si="116"/>
        <v>29</v>
      </c>
      <c r="CM41" s="100">
        <f t="shared" si="117"/>
        <v>-4</v>
      </c>
      <c r="CN41" s="100">
        <f t="shared" si="118"/>
        <v>46</v>
      </c>
      <c r="CO41" s="100">
        <f t="shared" si="119"/>
        <v>21</v>
      </c>
      <c r="CP41" s="100">
        <f t="shared" si="120"/>
        <v>17</v>
      </c>
      <c r="CQ41" s="100">
        <f t="shared" si="121"/>
        <v>37</v>
      </c>
      <c r="CR41" s="200">
        <f t="shared" si="122"/>
        <v>11</v>
      </c>
    </row>
    <row r="42" spans="1:96" x14ac:dyDescent="0.25">
      <c r="A42" s="49"/>
      <c r="B42" s="96" t="s">
        <v>38</v>
      </c>
      <c r="C42" s="135">
        <v>0</v>
      </c>
      <c r="D42" s="45">
        <v>0</v>
      </c>
      <c r="E42" s="45">
        <v>0</v>
      </c>
      <c r="F42" s="45">
        <v>0</v>
      </c>
      <c r="G42" s="45">
        <v>0</v>
      </c>
      <c r="H42" s="45">
        <v>0</v>
      </c>
      <c r="I42" s="45">
        <v>0</v>
      </c>
      <c r="J42" s="45">
        <v>0</v>
      </c>
      <c r="K42" s="45">
        <v>0</v>
      </c>
      <c r="L42" s="136">
        <v>1</v>
      </c>
      <c r="M42" s="135">
        <v>1</v>
      </c>
      <c r="N42" s="45">
        <v>1</v>
      </c>
      <c r="O42" s="45">
        <v>0</v>
      </c>
      <c r="P42" s="45">
        <v>0</v>
      </c>
      <c r="Q42" s="45">
        <v>0</v>
      </c>
      <c r="R42" s="45">
        <v>2</v>
      </c>
      <c r="S42" s="45">
        <v>2</v>
      </c>
      <c r="T42" s="45">
        <v>1</v>
      </c>
      <c r="U42" s="45">
        <v>1</v>
      </c>
      <c r="V42" s="45">
        <v>1</v>
      </c>
      <c r="W42" s="45">
        <v>1</v>
      </c>
      <c r="X42" s="136">
        <v>0</v>
      </c>
      <c r="Y42" s="45">
        <v>0</v>
      </c>
      <c r="Z42" s="45">
        <v>0</v>
      </c>
      <c r="AA42" s="45">
        <v>0</v>
      </c>
      <c r="AB42" s="45">
        <v>0</v>
      </c>
      <c r="AC42" s="43">
        <v>0</v>
      </c>
      <c r="AD42" s="43">
        <v>0</v>
      </c>
      <c r="AE42" s="43">
        <v>1</v>
      </c>
      <c r="AF42" s="43">
        <v>1</v>
      </c>
      <c r="AG42" s="43">
        <v>1</v>
      </c>
      <c r="AH42" s="43">
        <v>1</v>
      </c>
      <c r="AI42" s="43">
        <v>1</v>
      </c>
      <c r="AJ42" s="43">
        <v>0</v>
      </c>
      <c r="AK42" s="143">
        <v>1</v>
      </c>
      <c r="AL42" s="43">
        <v>1</v>
      </c>
      <c r="AM42" s="43">
        <v>0</v>
      </c>
      <c r="AN42" s="43">
        <v>0</v>
      </c>
      <c r="AO42" s="43">
        <f>2</f>
        <v>2</v>
      </c>
      <c r="AP42" s="43">
        <v>0</v>
      </c>
      <c r="AQ42" s="43">
        <v>0</v>
      </c>
      <c r="AR42" s="43">
        <v>0</v>
      </c>
      <c r="AS42" s="43">
        <v>0</v>
      </c>
      <c r="AT42" s="43">
        <v>0</v>
      </c>
      <c r="AU42" s="43">
        <v>0</v>
      </c>
      <c r="AV42" s="43">
        <v>0</v>
      </c>
      <c r="AW42" s="165">
        <v>0</v>
      </c>
      <c r="AX42" s="100">
        <v>0</v>
      </c>
      <c r="AY42" s="124">
        <v>0</v>
      </c>
      <c r="AZ42" s="100">
        <v>1</v>
      </c>
      <c r="BA42" s="192">
        <v>0</v>
      </c>
      <c r="BB42" s="192">
        <v>2</v>
      </c>
      <c r="BC42" s="100">
        <v>2</v>
      </c>
      <c r="BD42" s="100"/>
      <c r="BE42" s="100">
        <v>0</v>
      </c>
      <c r="BF42" s="100">
        <v>0</v>
      </c>
      <c r="BG42" s="100">
        <v>0</v>
      </c>
      <c r="BH42" s="100">
        <v>0</v>
      </c>
      <c r="BI42" s="165">
        <f t="shared" si="104"/>
        <v>-1</v>
      </c>
      <c r="BJ42" s="100">
        <f t="shared" si="105"/>
        <v>-1</v>
      </c>
      <c r="BK42" s="124">
        <f t="shared" si="106"/>
        <v>0</v>
      </c>
      <c r="BL42" s="100">
        <f t="shared" si="107"/>
        <v>1</v>
      </c>
      <c r="BM42" s="100">
        <f t="shared" si="107"/>
        <v>-2</v>
      </c>
      <c r="BN42" s="100">
        <f t="shared" si="107"/>
        <v>2</v>
      </c>
      <c r="BO42" s="100">
        <f t="shared" si="107"/>
        <v>2</v>
      </c>
      <c r="BP42" s="100">
        <f t="shared" si="108"/>
        <v>0</v>
      </c>
      <c r="BQ42" s="100">
        <f t="shared" si="109"/>
        <v>0</v>
      </c>
      <c r="BR42" s="100">
        <f t="shared" si="110"/>
        <v>0</v>
      </c>
      <c r="BS42" s="100">
        <f t="shared" si="110"/>
        <v>0</v>
      </c>
      <c r="BT42" s="200">
        <f t="shared" si="110"/>
        <v>0</v>
      </c>
      <c r="BU42" s="165">
        <v>1</v>
      </c>
      <c r="BV42" s="100">
        <v>2</v>
      </c>
      <c r="BW42" s="100">
        <v>2</v>
      </c>
      <c r="BX42" s="100">
        <v>0</v>
      </c>
      <c r="BY42" s="100">
        <v>0</v>
      </c>
      <c r="BZ42" s="192">
        <v>0</v>
      </c>
      <c r="CA42" s="100">
        <v>0</v>
      </c>
      <c r="CB42" s="100">
        <v>0</v>
      </c>
      <c r="CC42" s="100">
        <v>0</v>
      </c>
      <c r="CD42" s="100">
        <v>0</v>
      </c>
      <c r="CE42" s="100"/>
      <c r="CF42" s="200"/>
      <c r="CG42" s="165">
        <f t="shared" si="111"/>
        <v>2</v>
      </c>
      <c r="CH42" s="100">
        <f t="shared" si="112"/>
        <v>3</v>
      </c>
      <c r="CI42" s="124">
        <f t="shared" si="113"/>
        <v>2</v>
      </c>
      <c r="CJ42" s="100">
        <f t="shared" si="114"/>
        <v>-1</v>
      </c>
      <c r="CK42" s="100">
        <f t="shared" si="115"/>
        <v>2</v>
      </c>
      <c r="CL42" s="100">
        <f t="shared" si="116"/>
        <v>-2</v>
      </c>
      <c r="CM42" s="100">
        <f t="shared" si="117"/>
        <v>-2</v>
      </c>
      <c r="CN42" s="100">
        <f t="shared" si="118"/>
        <v>0</v>
      </c>
      <c r="CO42" s="100">
        <f t="shared" si="119"/>
        <v>0</v>
      </c>
      <c r="CP42" s="100">
        <f t="shared" si="120"/>
        <v>0</v>
      </c>
      <c r="CQ42" s="100">
        <f t="shared" si="121"/>
        <v>0</v>
      </c>
      <c r="CR42" s="200">
        <f t="shared" si="122"/>
        <v>0</v>
      </c>
    </row>
    <row r="43" spans="1:96" ht="15.75" thickBot="1" x14ac:dyDescent="0.3">
      <c r="A43" s="49"/>
      <c r="B43" s="98" t="s">
        <v>39</v>
      </c>
      <c r="C43" s="153">
        <f t="shared" ref="C43:AD43" si="123">SUM(C38:C42)</f>
        <v>6139</v>
      </c>
      <c r="D43" s="113">
        <f t="shared" si="123"/>
        <v>5571</v>
      </c>
      <c r="E43" s="113">
        <f t="shared" si="123"/>
        <v>5764</v>
      </c>
      <c r="F43" s="113">
        <f t="shared" si="123"/>
        <v>7309</v>
      </c>
      <c r="G43" s="113">
        <f t="shared" si="123"/>
        <v>8758</v>
      </c>
      <c r="H43" s="113">
        <f t="shared" si="123"/>
        <v>10459</v>
      </c>
      <c r="I43" s="113">
        <f t="shared" si="123"/>
        <v>10359</v>
      </c>
      <c r="J43" s="113">
        <f t="shared" si="123"/>
        <v>9967</v>
      </c>
      <c r="K43" s="113">
        <f t="shared" si="123"/>
        <v>9645</v>
      </c>
      <c r="L43" s="99">
        <f t="shared" si="123"/>
        <v>8576</v>
      </c>
      <c r="M43" s="153">
        <f t="shared" si="123"/>
        <v>7143</v>
      </c>
      <c r="N43" s="113">
        <f t="shared" si="123"/>
        <v>6113</v>
      </c>
      <c r="O43" s="113">
        <f t="shared" si="123"/>
        <v>6143</v>
      </c>
      <c r="P43" s="113">
        <f t="shared" si="123"/>
        <v>7517</v>
      </c>
      <c r="Q43" s="113">
        <f t="shared" si="123"/>
        <v>8582</v>
      </c>
      <c r="R43" s="113">
        <f t="shared" si="123"/>
        <v>8570</v>
      </c>
      <c r="S43" s="113">
        <f t="shared" si="123"/>
        <v>8625</v>
      </c>
      <c r="T43" s="113">
        <f t="shared" si="123"/>
        <v>10765</v>
      </c>
      <c r="U43" s="113">
        <f t="shared" si="123"/>
        <v>10926</v>
      </c>
      <c r="V43" s="113">
        <f t="shared" si="123"/>
        <v>10879</v>
      </c>
      <c r="W43" s="113">
        <f t="shared" si="123"/>
        <v>11331</v>
      </c>
      <c r="X43" s="99">
        <f t="shared" si="123"/>
        <v>11052</v>
      </c>
      <c r="Y43" s="113">
        <f t="shared" si="123"/>
        <v>11190</v>
      </c>
      <c r="Z43" s="113">
        <f t="shared" si="123"/>
        <v>11108</v>
      </c>
      <c r="AA43" s="113">
        <f t="shared" si="123"/>
        <v>10402</v>
      </c>
      <c r="AB43" s="113">
        <f t="shared" si="123"/>
        <v>10690</v>
      </c>
      <c r="AC43" s="113">
        <f t="shared" si="123"/>
        <v>8012</v>
      </c>
      <c r="AD43" s="113">
        <f t="shared" si="123"/>
        <v>8522</v>
      </c>
      <c r="AE43" s="113">
        <f t="shared" ref="AE43:AN43" si="124">SUM(AE38:AE42)</f>
        <v>9383</v>
      </c>
      <c r="AF43" s="113">
        <f t="shared" si="124"/>
        <v>9344</v>
      </c>
      <c r="AG43" s="113">
        <f t="shared" si="124"/>
        <v>10041</v>
      </c>
      <c r="AH43" s="113">
        <f t="shared" si="124"/>
        <v>9443</v>
      </c>
      <c r="AI43" s="113">
        <f t="shared" si="124"/>
        <v>8613</v>
      </c>
      <c r="AJ43" s="113">
        <f t="shared" si="124"/>
        <v>8612</v>
      </c>
      <c r="AK43" s="153">
        <f t="shared" si="124"/>
        <v>8254</v>
      </c>
      <c r="AL43" s="113">
        <f t="shared" si="124"/>
        <v>7776</v>
      </c>
      <c r="AM43" s="113">
        <f t="shared" si="124"/>
        <v>7206</v>
      </c>
      <c r="AN43" s="113">
        <f t="shared" si="124"/>
        <v>6730</v>
      </c>
      <c r="AO43" s="113">
        <f t="shared" ref="AO43:AT43" si="125">SUM(AO38:AO42)</f>
        <v>34748</v>
      </c>
      <c r="AP43" s="113">
        <f t="shared" si="125"/>
        <v>33225</v>
      </c>
      <c r="AQ43" s="113">
        <f t="shared" si="125"/>
        <v>33873</v>
      </c>
      <c r="AR43" s="113">
        <f t="shared" si="125"/>
        <v>34396</v>
      </c>
      <c r="AS43" s="113">
        <f t="shared" si="125"/>
        <v>26430</v>
      </c>
      <c r="AT43" s="113">
        <f t="shared" si="125"/>
        <v>26418</v>
      </c>
      <c r="AU43" s="113">
        <f t="shared" ref="AU43:BB43" si="126">SUM(AU38:AU42)</f>
        <v>24847</v>
      </c>
      <c r="AV43" s="113">
        <f t="shared" si="126"/>
        <v>24317</v>
      </c>
      <c r="AW43" s="166">
        <f t="shared" si="126"/>
        <v>23519</v>
      </c>
      <c r="AX43" s="102">
        <f t="shared" si="126"/>
        <v>23244</v>
      </c>
      <c r="AY43" s="114">
        <f t="shared" si="126"/>
        <v>22200</v>
      </c>
      <c r="AZ43" s="102">
        <f t="shared" si="126"/>
        <v>21877</v>
      </c>
      <c r="BA43" s="102">
        <f t="shared" si="126"/>
        <v>30221</v>
      </c>
      <c r="BB43" s="102">
        <f t="shared" si="126"/>
        <v>30745</v>
      </c>
      <c r="BC43" s="102">
        <f>SUM(BC38:BC42)</f>
        <v>38666</v>
      </c>
      <c r="BD43" s="102">
        <f>SUM(BD38:BD42)</f>
        <v>21097</v>
      </c>
      <c r="BE43" s="102">
        <f>SUM(BE38:BE42)</f>
        <v>21410</v>
      </c>
      <c r="BF43" s="102">
        <f>SUM(BF38:BF42)</f>
        <v>20607</v>
      </c>
      <c r="BG43" s="102">
        <f>SUM(BG38:BG41)</f>
        <v>19844</v>
      </c>
      <c r="BH43" s="102">
        <f>SUM(BH38:BH41)</f>
        <v>19373</v>
      </c>
      <c r="BI43" s="165">
        <f t="shared" si="104"/>
        <v>15265</v>
      </c>
      <c r="BJ43" s="102">
        <f t="shared" si="105"/>
        <v>15468</v>
      </c>
      <c r="BK43" s="114">
        <f t="shared" si="106"/>
        <v>14994</v>
      </c>
      <c r="BL43" s="102">
        <f t="shared" si="107"/>
        <v>15147</v>
      </c>
      <c r="BM43" s="102">
        <f t="shared" si="107"/>
        <v>-4527</v>
      </c>
      <c r="BN43" s="102">
        <f t="shared" si="107"/>
        <v>-2480</v>
      </c>
      <c r="BO43" s="102">
        <f t="shared" si="107"/>
        <v>4793</v>
      </c>
      <c r="BP43" s="102">
        <f t="shared" si="108"/>
        <v>-13299</v>
      </c>
      <c r="BQ43" s="102">
        <f t="shared" si="109"/>
        <v>-5020</v>
      </c>
      <c r="BR43" s="102">
        <f t="shared" si="110"/>
        <v>-5811</v>
      </c>
      <c r="BS43" s="102">
        <f t="shared" si="110"/>
        <v>-5003</v>
      </c>
      <c r="BT43" s="202">
        <f t="shared" si="110"/>
        <v>-4944</v>
      </c>
      <c r="BU43" s="166">
        <f t="shared" ref="BU43:BY43" si="127">SUM(BU38:BU42)</f>
        <v>18978</v>
      </c>
      <c r="BV43" s="102">
        <f t="shared" si="127"/>
        <v>17932</v>
      </c>
      <c r="BW43" s="102">
        <f t="shared" si="127"/>
        <v>17424</v>
      </c>
      <c r="BX43" s="102">
        <f t="shared" si="127"/>
        <v>16344</v>
      </c>
      <c r="BY43" s="102">
        <f t="shared" si="127"/>
        <v>14362</v>
      </c>
      <c r="BZ43" s="102">
        <v>13320</v>
      </c>
      <c r="CA43" s="102">
        <f>SUM(CA38:CA42)</f>
        <v>12692</v>
      </c>
      <c r="CB43" s="102">
        <f>SUM(CB38:CB42)</f>
        <v>12235</v>
      </c>
      <c r="CC43" s="102">
        <f>SUM(CC38:CC42)</f>
        <v>12126</v>
      </c>
      <c r="CD43" s="102">
        <f>SUM(CD38:CD42)</f>
        <v>12132</v>
      </c>
      <c r="CE43" s="102">
        <f>SUM(CE38:CE41)</f>
        <v>11239</v>
      </c>
      <c r="CF43" s="202">
        <f>SUM(CF38:CF41)</f>
        <v>0</v>
      </c>
      <c r="CG43" s="165">
        <f t="shared" si="111"/>
        <v>3713</v>
      </c>
      <c r="CH43" s="102">
        <f t="shared" si="112"/>
        <v>2464</v>
      </c>
      <c r="CI43" s="114">
        <f t="shared" si="113"/>
        <v>2430</v>
      </c>
      <c r="CJ43" s="102">
        <f t="shared" si="114"/>
        <v>1197</v>
      </c>
      <c r="CK43" s="102">
        <f t="shared" si="115"/>
        <v>18889</v>
      </c>
      <c r="CL43" s="102">
        <f t="shared" si="116"/>
        <v>15800</v>
      </c>
      <c r="CM43" s="102">
        <f t="shared" si="117"/>
        <v>7899</v>
      </c>
      <c r="CN43" s="102">
        <f t="shared" si="118"/>
        <v>25534</v>
      </c>
      <c r="CO43" s="102">
        <f t="shared" si="119"/>
        <v>17146</v>
      </c>
      <c r="CP43" s="102">
        <f t="shared" si="120"/>
        <v>17943</v>
      </c>
      <c r="CQ43" s="102">
        <f t="shared" si="121"/>
        <v>16242</v>
      </c>
      <c r="CR43" s="202">
        <f t="shared" si="122"/>
        <v>4944</v>
      </c>
    </row>
    <row r="44" spans="1:96" x14ac:dyDescent="0.25">
      <c r="A44" s="49">
        <f>+A37+1</f>
        <v>6</v>
      </c>
      <c r="B44" s="93" t="s">
        <v>27</v>
      </c>
      <c r="C44" s="154"/>
      <c r="D44" s="111"/>
      <c r="E44" s="111"/>
      <c r="F44" s="111"/>
      <c r="G44" s="111"/>
      <c r="H44" s="111"/>
      <c r="I44" s="111"/>
      <c r="J44" s="111"/>
      <c r="K44" s="111"/>
      <c r="L44" s="112"/>
      <c r="M44" s="154"/>
      <c r="N44" s="111"/>
      <c r="O44" s="111"/>
      <c r="P44" s="111"/>
      <c r="Q44" s="111"/>
      <c r="R44" s="111"/>
      <c r="S44" s="111"/>
      <c r="T44" s="111"/>
      <c r="U44" s="111"/>
      <c r="V44" s="111"/>
      <c r="W44" s="111"/>
      <c r="X44" s="112"/>
      <c r="Y44" s="111"/>
      <c r="Z44" s="111"/>
      <c r="AA44" s="111"/>
      <c r="AB44" s="111"/>
      <c r="AC44" s="111"/>
      <c r="AD44" s="155"/>
      <c r="AE44" s="155"/>
      <c r="AF44" s="155"/>
      <c r="AG44" s="155"/>
      <c r="AH44" s="155"/>
      <c r="AI44" s="155"/>
      <c r="AJ44" s="155"/>
      <c r="AK44" s="208"/>
      <c r="AL44" s="155"/>
      <c r="AM44" s="155"/>
      <c r="AN44" s="155"/>
      <c r="AO44" s="155"/>
      <c r="AP44" s="155"/>
      <c r="AQ44" s="155"/>
      <c r="AR44" s="155"/>
      <c r="AS44" s="155"/>
      <c r="AT44" s="155"/>
      <c r="AU44" s="155"/>
      <c r="AV44" s="155"/>
      <c r="AW44" s="164"/>
      <c r="AX44" s="94"/>
      <c r="AY44" s="94"/>
      <c r="AZ44" s="94"/>
      <c r="BA44" s="94"/>
      <c r="BB44" s="94"/>
      <c r="BC44" s="94"/>
      <c r="BD44" s="94"/>
      <c r="BE44" s="94"/>
      <c r="BF44" s="94"/>
      <c r="BG44" s="94"/>
      <c r="BH44" s="95"/>
      <c r="BI44" s="164"/>
      <c r="BJ44" s="94"/>
      <c r="BK44" s="94"/>
      <c r="BL44" s="94"/>
      <c r="BM44" s="94"/>
      <c r="BN44" s="94"/>
      <c r="BO44" s="94"/>
      <c r="BP44" s="94"/>
      <c r="BQ44" s="94"/>
      <c r="BR44" s="94"/>
      <c r="BS44" s="94"/>
      <c r="BT44" s="95"/>
      <c r="BU44" s="164"/>
      <c r="BV44" s="94"/>
      <c r="BW44" s="94"/>
      <c r="BX44" s="94"/>
      <c r="BY44" s="94"/>
      <c r="BZ44" s="94"/>
      <c r="CA44" s="94"/>
      <c r="CB44" s="94"/>
      <c r="CC44" s="94"/>
      <c r="CD44" s="94"/>
      <c r="CE44" s="94"/>
      <c r="CF44" s="95"/>
      <c r="CG44" s="164"/>
      <c r="CH44" s="94"/>
      <c r="CI44" s="94"/>
      <c r="CJ44" s="94"/>
      <c r="CK44" s="94"/>
      <c r="CL44" s="94"/>
      <c r="CM44" s="94"/>
      <c r="CN44" s="94"/>
      <c r="CO44" s="94"/>
      <c r="CP44" s="94"/>
      <c r="CQ44" s="94"/>
      <c r="CR44" s="95"/>
    </row>
    <row r="45" spans="1:96" x14ac:dyDescent="0.25">
      <c r="A45" s="49"/>
      <c r="B45" s="96" t="s">
        <v>34</v>
      </c>
      <c r="C45" s="138">
        <v>1821026</v>
      </c>
      <c r="D45" s="28">
        <v>1650998.76</v>
      </c>
      <c r="E45" s="28">
        <v>1176663.68</v>
      </c>
      <c r="F45" s="28">
        <v>669517.34</v>
      </c>
      <c r="G45" s="28">
        <v>380798</v>
      </c>
      <c r="H45" s="28">
        <v>295353.48</v>
      </c>
      <c r="I45" s="28">
        <v>256996.49</v>
      </c>
      <c r="J45" s="28">
        <v>252061.12</v>
      </c>
      <c r="K45" s="28">
        <v>280220.07</v>
      </c>
      <c r="L45" s="72">
        <v>637757.55000000005</v>
      </c>
      <c r="M45" s="138">
        <v>1216950.5900000001</v>
      </c>
      <c r="N45" s="28">
        <v>1662894.85</v>
      </c>
      <c r="O45" s="28">
        <v>1628760.39</v>
      </c>
      <c r="P45" s="28">
        <v>1498127.82</v>
      </c>
      <c r="Q45" s="28">
        <v>1326257.92</v>
      </c>
      <c r="R45" s="28">
        <v>968907.04</v>
      </c>
      <c r="S45" s="28">
        <v>392634.33</v>
      </c>
      <c r="T45" s="28">
        <v>321005.89</v>
      </c>
      <c r="U45" s="28">
        <v>331676.33</v>
      </c>
      <c r="V45" s="28">
        <v>289679.82</v>
      </c>
      <c r="W45" s="28">
        <f>380477.25+2182</f>
        <v>382659.25</v>
      </c>
      <c r="X45" s="72">
        <f>661772.88+10878</f>
        <v>672650.88</v>
      </c>
      <c r="Y45" s="28">
        <f>1203619.93+18751</f>
        <v>1222370.93</v>
      </c>
      <c r="Z45" s="28">
        <f>2176372.8</f>
        <v>2176372.7999999998</v>
      </c>
      <c r="AA45" s="28">
        <f>1888917.17+1688</f>
        <v>1890605.17</v>
      </c>
      <c r="AB45" s="28">
        <v>1762477.31</v>
      </c>
      <c r="AC45" s="125">
        <v>1394594</v>
      </c>
      <c r="AD45" s="126">
        <f>13964.41+821055.56+15818.39</f>
        <v>850838.3600000001</v>
      </c>
      <c r="AE45" s="126">
        <v>678380.57</v>
      </c>
      <c r="AF45" s="126">
        <v>336512.8</v>
      </c>
      <c r="AG45" s="126">
        <f>10480.01+253405.27+950.37</f>
        <v>264835.64999999997</v>
      </c>
      <c r="AH45" s="126">
        <v>248562.76</v>
      </c>
      <c r="AI45" s="126">
        <f>9567.49+219826.03+370.55</f>
        <v>229764.06999999998</v>
      </c>
      <c r="AJ45" s="126">
        <f>12323.79+268466.52+257.17</f>
        <v>281047.48</v>
      </c>
      <c r="AK45" s="209">
        <f>14836.2+544624.36</f>
        <v>559460.55999999994</v>
      </c>
      <c r="AL45" s="126">
        <f>18475.44+995803.94+48.47</f>
        <v>1014327.8499999999</v>
      </c>
      <c r="AM45" s="126">
        <f>26758.98+1808112.3+4687.98</f>
        <v>1839559.26</v>
      </c>
      <c r="AN45" s="126">
        <f>25844.13+1945237.97</f>
        <v>1971082.0999999999</v>
      </c>
      <c r="AO45" s="126">
        <f>20957.44+1533952.57+314</f>
        <v>1555224.01</v>
      </c>
      <c r="AP45" s="126">
        <f>24328.38+1228539+343.08</f>
        <v>1253210.46</v>
      </c>
      <c r="AQ45" s="126">
        <f>SUM(18941.56+820147.98+109.59)</f>
        <v>839199.13</v>
      </c>
      <c r="AR45" s="126">
        <f>7143.53+271290.04</f>
        <v>278433.57</v>
      </c>
      <c r="AS45" s="126">
        <f>16355.99+491956.53+64.85</f>
        <v>508377.37</v>
      </c>
      <c r="AT45" s="126">
        <f>11424.96+309477.91+448.41</f>
        <v>321351.27999999997</v>
      </c>
      <c r="AU45" s="126">
        <f>15021.97+355520.25+346.66</f>
        <v>370888.87999999995</v>
      </c>
      <c r="AV45" s="126">
        <f>15161.6+439844.01+161.75</f>
        <v>455167.36</v>
      </c>
      <c r="AW45" s="168">
        <f>16867.92+570240.09+74.4</f>
        <v>587182.41</v>
      </c>
      <c r="AX45" s="104">
        <f>25305.95+1193519.85+214.6</f>
        <v>1219040.4000000001</v>
      </c>
      <c r="AY45" s="104">
        <f>26176.63+1761072.52+495.98</f>
        <v>1787745.13</v>
      </c>
      <c r="AZ45" s="104">
        <f>SUM(27483.24+1749184.47+309.51)</f>
        <v>1776977.22</v>
      </c>
      <c r="BA45" s="104">
        <v>2154551.3499999996</v>
      </c>
      <c r="BB45" s="104">
        <f>SUM(28979.47,1696984.21,152.46)</f>
        <v>1726116.14</v>
      </c>
      <c r="BC45" s="195">
        <f>12686.53+474801.77</f>
        <v>487488.30000000005</v>
      </c>
      <c r="BD45" s="104">
        <f>(12766.53+365037.81+60.93)</f>
        <v>377865.27</v>
      </c>
      <c r="BE45" s="104">
        <f>7157.77+227575.11+136.85</f>
        <v>234869.72999999998</v>
      </c>
      <c r="BF45" s="104">
        <f>5983.47+159623.88+116.53</f>
        <v>165723.88</v>
      </c>
      <c r="BG45" s="195">
        <f>9045.83+230385.76+32.53</f>
        <v>239464.12</v>
      </c>
      <c r="BH45" s="195">
        <v>224931.78</v>
      </c>
      <c r="BI45" s="168">
        <f>AW45-AK45</f>
        <v>27721.850000000093</v>
      </c>
      <c r="BJ45" s="104">
        <f t="shared" ref="BJ45:BO50" si="128">AX45-AL45</f>
        <v>204712.55000000028</v>
      </c>
      <c r="BK45" s="104">
        <f t="shared" si="128"/>
        <v>-51814.130000000121</v>
      </c>
      <c r="BL45" s="104">
        <f t="shared" si="128"/>
        <v>-194104.87999999989</v>
      </c>
      <c r="BM45" s="104">
        <f t="shared" si="128"/>
        <v>599327.33999999962</v>
      </c>
      <c r="BN45" s="104">
        <f t="shared" si="128"/>
        <v>472905.67999999993</v>
      </c>
      <c r="BO45" s="104">
        <f t="shared" si="128"/>
        <v>-351710.82999999996</v>
      </c>
      <c r="BP45" s="104">
        <f t="shared" ref="BP45:BP50" si="129">BD45-AR45</f>
        <v>99431.700000000012</v>
      </c>
      <c r="BQ45" s="104">
        <f t="shared" ref="BQ45:BQ50" si="130">BE45-AS45</f>
        <v>-273507.64</v>
      </c>
      <c r="BR45" s="104">
        <f t="shared" ref="BR45:BT50" si="131">BF45-AT45</f>
        <v>-155627.39999999997</v>
      </c>
      <c r="BS45" s="104">
        <f t="shared" si="131"/>
        <v>-131424.75999999995</v>
      </c>
      <c r="BT45" s="106">
        <f t="shared" si="131"/>
        <v>-230235.58</v>
      </c>
      <c r="BU45" s="168">
        <f>9731+376394.13</f>
        <v>386125.13</v>
      </c>
      <c r="BV45" s="104">
        <v>679984.31</v>
      </c>
      <c r="BW45" s="104">
        <v>741795.83</v>
      </c>
      <c r="BX45" s="104">
        <v>711588</v>
      </c>
      <c r="BY45" s="104">
        <f>11160.25+566801.36+525.8</f>
        <v>578487.41</v>
      </c>
      <c r="BZ45" s="104">
        <v>585557.42999999993</v>
      </c>
      <c r="CA45" s="195">
        <v>409464.05000000005</v>
      </c>
      <c r="CB45" s="104">
        <v>277175.15000000002</v>
      </c>
      <c r="CC45" s="104">
        <v>267837.11099999998</v>
      </c>
      <c r="CD45" s="104">
        <v>199351.06999999998</v>
      </c>
      <c r="CE45" s="195">
        <v>223901.18</v>
      </c>
      <c r="CF45" s="214"/>
      <c r="CG45" s="168">
        <f>BU45-BI45</f>
        <v>358403.27999999991</v>
      </c>
      <c r="CH45" s="104">
        <f t="shared" ref="CH45:CH50" si="132">BV45-BJ45</f>
        <v>475271.75999999978</v>
      </c>
      <c r="CI45" s="104">
        <f t="shared" ref="CI45:CI50" si="133">BW45-BK45</f>
        <v>793609.96000000008</v>
      </c>
      <c r="CJ45" s="104">
        <f t="shared" ref="CJ45:CJ50" si="134">BX45-BL45</f>
        <v>905692.87999999989</v>
      </c>
      <c r="CK45" s="104">
        <f t="shared" ref="CK45:CK50" si="135">BY45-BM45</f>
        <v>-20839.929999999586</v>
      </c>
      <c r="CL45" s="104">
        <f t="shared" ref="CL45:CL50" si="136">BZ45-BN45</f>
        <v>112651.75</v>
      </c>
      <c r="CM45" s="104">
        <f t="shared" ref="CM45:CM50" si="137">CA45-BO45</f>
        <v>761174.88</v>
      </c>
      <c r="CN45" s="104">
        <f t="shared" ref="CN45:CN50" si="138">CB45-BP45</f>
        <v>177743.45</v>
      </c>
      <c r="CO45" s="104">
        <f t="shared" ref="CO45:CO50" si="139">CC45-BQ45</f>
        <v>541344.75099999993</v>
      </c>
      <c r="CP45" s="104">
        <f t="shared" ref="CP45:CP50" si="140">CD45-BR45</f>
        <v>354978.47</v>
      </c>
      <c r="CQ45" s="104">
        <f t="shared" ref="CQ45:CQ50" si="141">CE45-BS45</f>
        <v>355325.93999999994</v>
      </c>
      <c r="CR45" s="106">
        <f t="shared" ref="CR45:CR50" si="142">CF45-BT45</f>
        <v>230235.58</v>
      </c>
    </row>
    <row r="46" spans="1:96" x14ac:dyDescent="0.25">
      <c r="A46" s="49"/>
      <c r="B46" s="96" t="s">
        <v>35</v>
      </c>
      <c r="C46" s="138">
        <v>590605.9</v>
      </c>
      <c r="D46" s="28">
        <v>500323.03</v>
      </c>
      <c r="E46" s="28">
        <v>333874.45</v>
      </c>
      <c r="F46" s="28">
        <v>211984.29</v>
      </c>
      <c r="G46" s="28">
        <v>150515.16</v>
      </c>
      <c r="H46" s="28">
        <v>117913.52</v>
      </c>
      <c r="I46" s="28">
        <v>112748.79</v>
      </c>
      <c r="J46" s="28">
        <v>117966.53</v>
      </c>
      <c r="K46" s="28">
        <v>129774.09</v>
      </c>
      <c r="L46" s="72">
        <v>268373.32</v>
      </c>
      <c r="M46" s="138">
        <v>394952.4</v>
      </c>
      <c r="N46" s="28">
        <v>414462.54</v>
      </c>
      <c r="O46" s="28">
        <v>365043.85</v>
      </c>
      <c r="P46" s="28">
        <v>405196.08</v>
      </c>
      <c r="Q46" s="28">
        <v>354244.1</v>
      </c>
      <c r="R46" s="28">
        <v>204185.13</v>
      </c>
      <c r="S46" s="28">
        <v>129915.89</v>
      </c>
      <c r="T46" s="28">
        <v>186838.2</v>
      </c>
      <c r="U46" s="28">
        <v>322511.13</v>
      </c>
      <c r="V46" s="28">
        <v>353504.64</v>
      </c>
      <c r="W46" s="28">
        <v>288567.96999999997</v>
      </c>
      <c r="X46" s="72">
        <v>293706.05</v>
      </c>
      <c r="Y46" s="28">
        <v>598931.29</v>
      </c>
      <c r="Z46" s="28">
        <v>909128.53</v>
      </c>
      <c r="AA46" s="28">
        <v>631457.32999999996</v>
      </c>
      <c r="AB46" s="28">
        <v>507075.97</v>
      </c>
      <c r="AC46" s="125">
        <v>287826.59999999998</v>
      </c>
      <c r="AD46" s="126">
        <f>2102.14+366711.51</f>
        <v>368813.65</v>
      </c>
      <c r="AE46" s="126">
        <v>208173.56</v>
      </c>
      <c r="AF46" s="126">
        <v>92424.52</v>
      </c>
      <c r="AG46" s="126">
        <f>1004.49+80448.88</f>
        <v>81453.37000000001</v>
      </c>
      <c r="AH46" s="126">
        <v>124892.89</v>
      </c>
      <c r="AI46" s="126">
        <f>1360.14+83116.61</f>
        <v>84476.75</v>
      </c>
      <c r="AJ46" s="126">
        <f>1568.5+75019.6</f>
        <v>76588.100000000006</v>
      </c>
      <c r="AK46" s="209">
        <f>1971.78+138001.98</f>
        <v>139973.76000000001</v>
      </c>
      <c r="AL46" s="126">
        <f>2263.81+244404.82</f>
        <v>246668.63</v>
      </c>
      <c r="AM46" s="126">
        <f>2788.2+404176.06</f>
        <v>406964.26</v>
      </c>
      <c r="AN46" s="126">
        <f>3694.81+618962.74</f>
        <v>622657.55000000005</v>
      </c>
      <c r="AO46" s="126">
        <f>2546.16+370331.63+0</f>
        <v>372877.79</v>
      </c>
      <c r="AP46" s="126">
        <f>3510.45+342806.24</f>
        <v>346316.69</v>
      </c>
      <c r="AQ46" s="126">
        <f>2815.01+245992.85+0</f>
        <v>248807.86000000002</v>
      </c>
      <c r="AR46" s="126">
        <f>1183.1+80261.89</f>
        <v>81444.990000000005</v>
      </c>
      <c r="AS46" s="126">
        <f>2918.26+182878.9</f>
        <v>185797.16</v>
      </c>
      <c r="AT46" s="126">
        <f>2193.36+137461.75</f>
        <v>139655.10999999999</v>
      </c>
      <c r="AU46" s="126">
        <f>2120.95+150442.04</f>
        <v>152562.99000000002</v>
      </c>
      <c r="AV46" s="126">
        <f>2609.85+168191.76</f>
        <v>170801.61000000002</v>
      </c>
      <c r="AW46" s="168">
        <f>3704.95+257921.14</f>
        <v>261626.09000000003</v>
      </c>
      <c r="AX46" s="104">
        <f>4044.05+451517.3</f>
        <v>455561.35</v>
      </c>
      <c r="AY46" s="104">
        <f>5366.91+587533.45</f>
        <v>592900.36</v>
      </c>
      <c r="AZ46" s="104">
        <f>SUM(6335.73+637687.58)</f>
        <v>644023.30999999994</v>
      </c>
      <c r="BA46" s="104">
        <v>571761.48</v>
      </c>
      <c r="BB46" s="104">
        <f>SUM(573123.94,5098.39)</f>
        <v>578222.32999999996</v>
      </c>
      <c r="BC46" s="195">
        <f>2953.73+229782.76</f>
        <v>232736.49000000002</v>
      </c>
      <c r="BD46" s="104">
        <f>(4782.08+173776.67)</f>
        <v>178558.75</v>
      </c>
      <c r="BE46" s="104">
        <f>3217.06+156796.39</f>
        <v>160013.45000000001</v>
      </c>
      <c r="BF46" s="104">
        <f>2077.12+116459.21</f>
        <v>118536.33</v>
      </c>
      <c r="BG46" s="195">
        <f>2401.6+149147.78</f>
        <v>151549.38</v>
      </c>
      <c r="BH46" s="195">
        <v>111144.25</v>
      </c>
      <c r="BI46" s="168">
        <f t="shared" ref="BI46:BI50" si="143">AW46-AK46</f>
        <v>121652.33000000002</v>
      </c>
      <c r="BJ46" s="104">
        <f t="shared" si="128"/>
        <v>208892.71999999997</v>
      </c>
      <c r="BK46" s="104">
        <f t="shared" si="128"/>
        <v>185936.09999999998</v>
      </c>
      <c r="BL46" s="104">
        <f t="shared" si="128"/>
        <v>21365.759999999893</v>
      </c>
      <c r="BM46" s="104">
        <f t="shared" si="128"/>
        <v>198883.69</v>
      </c>
      <c r="BN46" s="104">
        <f t="shared" si="128"/>
        <v>231905.63999999996</v>
      </c>
      <c r="BO46" s="104">
        <f t="shared" si="128"/>
        <v>-16071.369999999995</v>
      </c>
      <c r="BP46" s="104">
        <f t="shared" si="129"/>
        <v>97113.76</v>
      </c>
      <c r="BQ46" s="104">
        <f t="shared" si="130"/>
        <v>-25783.709999999992</v>
      </c>
      <c r="BR46" s="104">
        <f t="shared" si="131"/>
        <v>-21118.779999999984</v>
      </c>
      <c r="BS46" s="104">
        <f t="shared" si="131"/>
        <v>-1013.6100000000151</v>
      </c>
      <c r="BT46" s="106">
        <f t="shared" si="131"/>
        <v>-59657.360000000015</v>
      </c>
      <c r="BU46" s="168">
        <f>3974.48+225462.21</f>
        <v>229436.69</v>
      </c>
      <c r="BV46" s="104">
        <v>379399.19</v>
      </c>
      <c r="BW46" s="104">
        <v>463640.07</v>
      </c>
      <c r="BX46" s="104">
        <v>490735.93</v>
      </c>
      <c r="BY46" s="104">
        <f>3710.06+344813.16</f>
        <v>348523.22</v>
      </c>
      <c r="BZ46" s="104">
        <v>227226.32</v>
      </c>
      <c r="CA46" s="195">
        <v>166876.04999999999</v>
      </c>
      <c r="CB46" s="104">
        <v>129411.79000000001</v>
      </c>
      <c r="CC46" s="104">
        <v>127321.41</v>
      </c>
      <c r="CD46" s="104">
        <v>94348.94</v>
      </c>
      <c r="CE46" s="195">
        <v>101369.53</v>
      </c>
      <c r="CF46" s="214"/>
      <c r="CG46" s="168">
        <f t="shared" ref="CG46:CG50" si="144">BU46-BI46</f>
        <v>107784.35999999999</v>
      </c>
      <c r="CH46" s="104">
        <f t="shared" si="132"/>
        <v>170506.47000000003</v>
      </c>
      <c r="CI46" s="104">
        <f t="shared" si="133"/>
        <v>277703.97000000003</v>
      </c>
      <c r="CJ46" s="104">
        <f t="shared" si="134"/>
        <v>469370.1700000001</v>
      </c>
      <c r="CK46" s="104">
        <f t="shared" si="135"/>
        <v>149639.52999999997</v>
      </c>
      <c r="CL46" s="104">
        <f t="shared" si="136"/>
        <v>-4679.3199999999488</v>
      </c>
      <c r="CM46" s="104">
        <f t="shared" si="137"/>
        <v>182947.41999999998</v>
      </c>
      <c r="CN46" s="104">
        <f t="shared" si="138"/>
        <v>32298.030000000013</v>
      </c>
      <c r="CO46" s="104">
        <f t="shared" si="139"/>
        <v>153105.12</v>
      </c>
      <c r="CP46" s="104">
        <f t="shared" si="140"/>
        <v>115467.71999999999</v>
      </c>
      <c r="CQ46" s="104">
        <f t="shared" si="141"/>
        <v>102383.14000000001</v>
      </c>
      <c r="CR46" s="106">
        <f t="shared" si="142"/>
        <v>59657.360000000015</v>
      </c>
    </row>
    <row r="47" spans="1:96" x14ac:dyDescent="0.25">
      <c r="A47" s="49"/>
      <c r="B47" s="96" t="s">
        <v>36</v>
      </c>
      <c r="C47" s="138">
        <v>321241.65000000002</v>
      </c>
      <c r="D47" s="28">
        <v>140056.82</v>
      </c>
      <c r="E47" s="28">
        <v>88137.22</v>
      </c>
      <c r="F47" s="28">
        <v>49210.55</v>
      </c>
      <c r="G47" s="28">
        <v>26687.018</v>
      </c>
      <c r="H47" s="28">
        <v>22451.53</v>
      </c>
      <c r="I47" s="28">
        <v>21939.57</v>
      </c>
      <c r="J47" s="28">
        <v>17783.98</v>
      </c>
      <c r="K47" s="28">
        <v>22724.86</v>
      </c>
      <c r="L47" s="72">
        <v>42183.72</v>
      </c>
      <c r="M47" s="138">
        <v>112912.76</v>
      </c>
      <c r="N47" s="28">
        <v>216491.69</v>
      </c>
      <c r="O47" s="28">
        <v>161553.18</v>
      </c>
      <c r="P47" s="28">
        <v>209743.49</v>
      </c>
      <c r="Q47" s="28">
        <v>211740.41</v>
      </c>
      <c r="R47" s="28">
        <v>87297.72</v>
      </c>
      <c r="S47" s="28">
        <v>39719.300000000003</v>
      </c>
      <c r="T47" s="28">
        <v>187848.89</v>
      </c>
      <c r="U47" s="28">
        <v>21963.88</v>
      </c>
      <c r="V47" s="28">
        <v>21516.17</v>
      </c>
      <c r="W47" s="28">
        <v>32503.53</v>
      </c>
      <c r="X47" s="72">
        <v>59046.94</v>
      </c>
      <c r="Y47" s="28">
        <v>142827.85</v>
      </c>
      <c r="Z47" s="28">
        <v>262550.06</v>
      </c>
      <c r="AA47" s="28">
        <v>174627.74</v>
      </c>
      <c r="AB47" s="28">
        <v>162423.38</v>
      </c>
      <c r="AC47" s="125">
        <v>95867.69</v>
      </c>
      <c r="AD47" s="126">
        <f>46555.42+10194.37+20836.07+3357.77</f>
        <v>80943.63</v>
      </c>
      <c r="AE47" s="126">
        <v>48823.11</v>
      </c>
      <c r="AF47" s="126">
        <v>23180.98</v>
      </c>
      <c r="AG47" s="126">
        <v>16556.2</v>
      </c>
      <c r="AH47" s="126">
        <v>15540.91</v>
      </c>
      <c r="AI47" s="126">
        <f>11986.91+5159.4+130.26+59.88</f>
        <v>17336.449999999997</v>
      </c>
      <c r="AJ47" s="126">
        <v>19272.38</v>
      </c>
      <c r="AK47" s="209">
        <v>25771.9</v>
      </c>
      <c r="AL47" s="126">
        <v>50608.11</v>
      </c>
      <c r="AM47" s="126">
        <v>117527.9</v>
      </c>
      <c r="AN47" s="126">
        <f>109625.38+8288.32+679.2+811.63</f>
        <v>119404.53000000001</v>
      </c>
      <c r="AO47" s="126">
        <f>135289.7+14810.67+201.03+13248.28</f>
        <v>163549.68000000002</v>
      </c>
      <c r="AP47" s="126">
        <f>77314.7+12113.66+1242.01+695.98</f>
        <v>91366.349999999991</v>
      </c>
      <c r="AQ47" s="126">
        <f>41907.81+8738.43+282.98+937.33</f>
        <v>51866.55</v>
      </c>
      <c r="AR47" s="126">
        <f>8101.49+2887.6+78.08+118.2</f>
        <v>11185.37</v>
      </c>
      <c r="AS47" s="126">
        <f>20778.58+9237.82+194.71+295.9</f>
        <v>30507.010000000002</v>
      </c>
      <c r="AT47" s="126">
        <f>18828.42+7364.34+154.45+425.92</f>
        <v>26773.129999999997</v>
      </c>
      <c r="AU47" s="126">
        <f>15137.64+9250.18+148.15+522.61</f>
        <v>25058.58</v>
      </c>
      <c r="AV47" s="126">
        <f>22878.79+8097.99+161.14+362.17</f>
        <v>31500.089999999997</v>
      </c>
      <c r="AW47" s="168">
        <f>24692.05+11461.87+253.77+398.78</f>
        <v>36806.469999999994</v>
      </c>
      <c r="AX47" s="104">
        <f>61045.93+15602.98+519.78</f>
        <v>77168.69</v>
      </c>
      <c r="AY47" s="104">
        <f>78027.11+13704.69+802.83+339.63</f>
        <v>92874.260000000009</v>
      </c>
      <c r="AZ47" s="104">
        <f>SUM(75872.11+13764.5+1183.79+727.06)</f>
        <v>91547.459999999992</v>
      </c>
      <c r="BA47" s="104">
        <v>87523.67</v>
      </c>
      <c r="BB47" s="104">
        <f>SUM(86774.29,13026.29,1339.43,79.57)</f>
        <v>101219.57999999999</v>
      </c>
      <c r="BC47" s="195">
        <f>17042.21+4690.32+550.85+320.82</f>
        <v>22604.199999999997</v>
      </c>
      <c r="BD47" s="104">
        <f>(16160.55+3615.45+480.58+361.98)</f>
        <v>20618.560000000001</v>
      </c>
      <c r="BE47" s="104">
        <f>9709.8+2731.85+300.15+67.79</f>
        <v>12809.59</v>
      </c>
      <c r="BF47" s="104">
        <f>7272.56+1779.85+277.18</f>
        <v>9329.59</v>
      </c>
      <c r="BG47" s="195">
        <f>12817.41+27.05+2075.23+709.62+295.29</f>
        <v>15924.6</v>
      </c>
      <c r="BH47" s="195">
        <v>14579.939999999999</v>
      </c>
      <c r="BI47" s="168">
        <f t="shared" si="143"/>
        <v>11034.569999999992</v>
      </c>
      <c r="BJ47" s="104">
        <f t="shared" si="128"/>
        <v>26560.58</v>
      </c>
      <c r="BK47" s="104">
        <f t="shared" si="128"/>
        <v>-24653.639999999985</v>
      </c>
      <c r="BL47" s="104">
        <f t="shared" si="128"/>
        <v>-27857.070000000022</v>
      </c>
      <c r="BM47" s="104">
        <f t="shared" si="128"/>
        <v>-76026.010000000024</v>
      </c>
      <c r="BN47" s="104">
        <f t="shared" si="128"/>
        <v>9853.2299999999959</v>
      </c>
      <c r="BO47" s="104">
        <f t="shared" si="128"/>
        <v>-29262.350000000006</v>
      </c>
      <c r="BP47" s="104">
        <f t="shared" si="129"/>
        <v>9433.19</v>
      </c>
      <c r="BQ47" s="104">
        <f t="shared" si="130"/>
        <v>-17697.420000000002</v>
      </c>
      <c r="BR47" s="104">
        <f t="shared" si="131"/>
        <v>-17443.539999999997</v>
      </c>
      <c r="BS47" s="104">
        <f t="shared" si="131"/>
        <v>-9133.9800000000014</v>
      </c>
      <c r="BT47" s="106">
        <f t="shared" si="131"/>
        <v>-16920.149999999998</v>
      </c>
      <c r="BU47" s="168">
        <f>12880.03+1737.16+275.61+37.646</f>
        <v>14930.446000000002</v>
      </c>
      <c r="BV47" s="104">
        <v>43300.03</v>
      </c>
      <c r="BW47" s="104">
        <v>59900.6</v>
      </c>
      <c r="BX47" s="104">
        <v>40056.79</v>
      </c>
      <c r="BY47" s="104">
        <f>22703.1+3635.48+2015.12</f>
        <v>28353.699999999997</v>
      </c>
      <c r="BZ47" s="104">
        <v>35960.82</v>
      </c>
      <c r="CA47" s="195">
        <v>21959.279999999999</v>
      </c>
      <c r="CB47" s="104">
        <v>11996.5</v>
      </c>
      <c r="CC47" s="104">
        <v>11352.769999999999</v>
      </c>
      <c r="CD47" s="104">
        <v>9342.25</v>
      </c>
      <c r="CE47" s="195">
        <v>12274.97</v>
      </c>
      <c r="CF47" s="214"/>
      <c r="CG47" s="168">
        <f t="shared" si="144"/>
        <v>3895.8760000000093</v>
      </c>
      <c r="CH47" s="104">
        <f t="shared" si="132"/>
        <v>16739.449999999997</v>
      </c>
      <c r="CI47" s="104">
        <f t="shared" si="133"/>
        <v>84554.239999999991</v>
      </c>
      <c r="CJ47" s="104">
        <f t="shared" si="134"/>
        <v>67913.860000000015</v>
      </c>
      <c r="CK47" s="104">
        <f t="shared" si="135"/>
        <v>104379.71000000002</v>
      </c>
      <c r="CL47" s="104">
        <f t="shared" si="136"/>
        <v>26107.590000000004</v>
      </c>
      <c r="CM47" s="104">
        <f t="shared" si="137"/>
        <v>51221.630000000005</v>
      </c>
      <c r="CN47" s="104">
        <f t="shared" si="138"/>
        <v>2563.3099999999995</v>
      </c>
      <c r="CO47" s="104">
        <f t="shared" si="139"/>
        <v>29050.190000000002</v>
      </c>
      <c r="CP47" s="104">
        <f t="shared" si="140"/>
        <v>26785.789999999997</v>
      </c>
      <c r="CQ47" s="104">
        <f t="shared" si="141"/>
        <v>21408.95</v>
      </c>
      <c r="CR47" s="106">
        <f t="shared" si="142"/>
        <v>16920.149999999998</v>
      </c>
    </row>
    <row r="48" spans="1:96" x14ac:dyDescent="0.25">
      <c r="A48" s="49"/>
      <c r="B48" s="96" t="s">
        <v>37</v>
      </c>
      <c r="C48" s="138">
        <v>179234.14</v>
      </c>
      <c r="D48" s="28">
        <v>165981.01999999999</v>
      </c>
      <c r="E48" s="28">
        <v>97080.67</v>
      </c>
      <c r="F48" s="28">
        <v>57623.64</v>
      </c>
      <c r="G48" s="28">
        <v>19071.689999999999</v>
      </c>
      <c r="H48" s="28">
        <v>21025.47</v>
      </c>
      <c r="I48" s="28">
        <v>17006.86</v>
      </c>
      <c r="J48" s="28">
        <v>10391.27</v>
      </c>
      <c r="K48" s="28">
        <v>25417.82</v>
      </c>
      <c r="L48" s="72">
        <v>46100.17</v>
      </c>
      <c r="M48" s="138">
        <v>100128.11</v>
      </c>
      <c r="N48" s="28">
        <v>181222.06</v>
      </c>
      <c r="O48" s="28">
        <v>172104.03</v>
      </c>
      <c r="P48" s="28">
        <v>256307.41</v>
      </c>
      <c r="Q48" s="28">
        <v>188086.67</v>
      </c>
      <c r="R48" s="28">
        <v>110525.82</v>
      </c>
      <c r="S48" s="28">
        <v>39665.9</v>
      </c>
      <c r="T48" s="28">
        <v>47009.46</v>
      </c>
      <c r="U48" s="28">
        <v>24178.51</v>
      </c>
      <c r="V48" s="28">
        <v>73427.95</v>
      </c>
      <c r="W48" s="28">
        <v>48464.56</v>
      </c>
      <c r="X48" s="72">
        <v>112253.53</v>
      </c>
      <c r="Y48" s="28">
        <v>246635.57</v>
      </c>
      <c r="Z48" s="28">
        <v>507713.21</v>
      </c>
      <c r="AA48" s="28">
        <v>183978.61</v>
      </c>
      <c r="AB48" s="28">
        <v>218333.44</v>
      </c>
      <c r="AC48" s="125">
        <v>182295.4</v>
      </c>
      <c r="AD48" s="126">
        <f>55390.95+10830.84+109713.7+10174.39</f>
        <v>186109.88</v>
      </c>
      <c r="AE48" s="126">
        <v>53729.62</v>
      </c>
      <c r="AF48" s="126">
        <v>23242.59</v>
      </c>
      <c r="AG48" s="126">
        <v>28628.04</v>
      </c>
      <c r="AH48" s="126">
        <v>23713.13</v>
      </c>
      <c r="AI48" s="126">
        <f>15427.23+3292.14+2273.55+5606.71</f>
        <v>26599.629999999997</v>
      </c>
      <c r="AJ48" s="126">
        <v>38955.99</v>
      </c>
      <c r="AK48" s="209">
        <v>32295.22</v>
      </c>
      <c r="AL48" s="126">
        <v>57766.13</v>
      </c>
      <c r="AM48" s="126">
        <v>104517.14</v>
      </c>
      <c r="AN48" s="126">
        <f>47855.87+6499.79+24612.2+17981.77</f>
        <v>96949.63</v>
      </c>
      <c r="AO48" s="126">
        <f>94666.11+7716.9+36913.76+13248.28</f>
        <v>152545.04999999999</v>
      </c>
      <c r="AP48" s="126">
        <f>141085.02+11376.71+24440.73+7669.91</f>
        <v>184572.37</v>
      </c>
      <c r="AQ48" s="126">
        <f>39861.14+6611.63+28650.96+5650.1</f>
        <v>80773.83</v>
      </c>
      <c r="AR48" s="126">
        <f>752.76+3792.48+548.14+1514.84</f>
        <v>6608.22</v>
      </c>
      <c r="AS48" s="126">
        <f>8410.96+10115.76+2885.55+5688.04</f>
        <v>27100.31</v>
      </c>
      <c r="AT48" s="126">
        <f>13695.57+16366.45+2045.15+3401.05</f>
        <v>35508.22</v>
      </c>
      <c r="AU48" s="126">
        <f>8847.53+7435.38+1120.61+4513.7</f>
        <v>21917.22</v>
      </c>
      <c r="AV48" s="126">
        <f>8775.67+8102.75+2069.82+4586.87</f>
        <v>23535.109999999997</v>
      </c>
      <c r="AW48" s="168">
        <f>18824.39+7276.03+1514.49+7739.72</f>
        <v>35354.629999999997</v>
      </c>
      <c r="AX48" s="104">
        <f>34217.37+11513.57+279.43+12356.43</f>
        <v>58366.8</v>
      </c>
      <c r="AY48" s="104">
        <f>47218.58+15593.24+13393.56+11756.57</f>
        <v>87961.950000000012</v>
      </c>
      <c r="AZ48" s="104">
        <f>SUM(97425.53+16489.94+12127.59+6060.79)</f>
        <v>132103.85</v>
      </c>
      <c r="BA48" s="104">
        <v>96316.17</v>
      </c>
      <c r="BB48" s="104">
        <f>SUM(57378.66,7876.73,36844.65,4611.31)</f>
        <v>106711.35</v>
      </c>
      <c r="BC48" s="195">
        <f>23786.61+6085.26+13904.19+764.93</f>
        <v>44540.990000000005</v>
      </c>
      <c r="BD48" s="104">
        <f>(8820.78+8515.27+1748.64+199.68)</f>
        <v>19284.370000000003</v>
      </c>
      <c r="BE48" s="104">
        <f>6856.26+3124.8+1158.73+201.57</f>
        <v>11341.36</v>
      </c>
      <c r="BF48" s="104">
        <f>6137.26+2258.3+150.47+271.23</f>
        <v>8817.26</v>
      </c>
      <c r="BG48" s="195">
        <f>9813+3504.02+1061.56+374.05</f>
        <v>14752.63</v>
      </c>
      <c r="BH48" s="195">
        <v>13370.389999999998</v>
      </c>
      <c r="BI48" s="168">
        <f t="shared" si="143"/>
        <v>3059.4099999999962</v>
      </c>
      <c r="BJ48" s="104">
        <f t="shared" si="128"/>
        <v>600.67000000000553</v>
      </c>
      <c r="BK48" s="104">
        <f t="shared" si="128"/>
        <v>-16555.189999999988</v>
      </c>
      <c r="BL48" s="104">
        <f t="shared" si="128"/>
        <v>35154.22</v>
      </c>
      <c r="BM48" s="104">
        <f t="shared" si="128"/>
        <v>-56228.87999999999</v>
      </c>
      <c r="BN48" s="104">
        <f t="shared" si="128"/>
        <v>-77861.01999999999</v>
      </c>
      <c r="BO48" s="104">
        <f t="shared" si="128"/>
        <v>-36232.839999999997</v>
      </c>
      <c r="BP48" s="104">
        <f t="shared" si="129"/>
        <v>12676.150000000001</v>
      </c>
      <c r="BQ48" s="104">
        <f t="shared" si="130"/>
        <v>-15758.95</v>
      </c>
      <c r="BR48" s="104">
        <f t="shared" si="131"/>
        <v>-26690.959999999999</v>
      </c>
      <c r="BS48" s="104">
        <f t="shared" si="131"/>
        <v>-7164.590000000002</v>
      </c>
      <c r="BT48" s="106">
        <f t="shared" si="131"/>
        <v>-10164.719999999999</v>
      </c>
      <c r="BU48" s="168">
        <f>13491.76+3378.35+511.88+3359.35</f>
        <v>20741.34</v>
      </c>
      <c r="BV48" s="104">
        <v>38643.64</v>
      </c>
      <c r="BW48" s="104">
        <v>40247.599999999999</v>
      </c>
      <c r="BX48" s="104">
        <v>45351.24</v>
      </c>
      <c r="BY48" s="104">
        <f>26995.47+3063.91+3699.62+672.15</f>
        <v>34431.15</v>
      </c>
      <c r="BZ48" s="104">
        <v>53962.299999999996</v>
      </c>
      <c r="CA48" s="195">
        <v>67707.040000000008</v>
      </c>
      <c r="CB48" s="104">
        <v>26528.280000000002</v>
      </c>
      <c r="CC48" s="104">
        <v>26528.280000000002</v>
      </c>
      <c r="CD48" s="104">
        <v>12001.36</v>
      </c>
      <c r="CE48" s="195">
        <v>29519.989999999994</v>
      </c>
      <c r="CF48" s="214"/>
      <c r="CG48" s="168">
        <f t="shared" si="144"/>
        <v>17681.930000000004</v>
      </c>
      <c r="CH48" s="104">
        <f t="shared" si="132"/>
        <v>38042.969999999994</v>
      </c>
      <c r="CI48" s="104">
        <f t="shared" si="133"/>
        <v>56802.789999999986</v>
      </c>
      <c r="CJ48" s="104">
        <f t="shared" si="134"/>
        <v>10197.019999999997</v>
      </c>
      <c r="CK48" s="104">
        <f t="shared" si="135"/>
        <v>90660.03</v>
      </c>
      <c r="CL48" s="104">
        <f t="shared" si="136"/>
        <v>131823.31999999998</v>
      </c>
      <c r="CM48" s="104">
        <f t="shared" si="137"/>
        <v>103939.88</v>
      </c>
      <c r="CN48" s="104">
        <f t="shared" si="138"/>
        <v>13852.130000000001</v>
      </c>
      <c r="CO48" s="104">
        <f t="shared" si="139"/>
        <v>42287.23</v>
      </c>
      <c r="CP48" s="104">
        <f t="shared" si="140"/>
        <v>38692.32</v>
      </c>
      <c r="CQ48" s="104">
        <f t="shared" si="141"/>
        <v>36684.579999999994</v>
      </c>
      <c r="CR48" s="106">
        <f t="shared" si="142"/>
        <v>10164.719999999999</v>
      </c>
    </row>
    <row r="49" spans="1:96" x14ac:dyDescent="0.25">
      <c r="A49" s="49"/>
      <c r="B49" s="96" t="s">
        <v>38</v>
      </c>
      <c r="C49" s="138">
        <v>0</v>
      </c>
      <c r="D49" s="28">
        <v>17568.169999999998</v>
      </c>
      <c r="E49" s="28">
        <v>15.32</v>
      </c>
      <c r="F49" s="28">
        <v>16898.810000000001</v>
      </c>
      <c r="G49" s="28">
        <v>46.51</v>
      </c>
      <c r="H49" s="28">
        <v>950.14</v>
      </c>
      <c r="I49" s="28">
        <v>927.58</v>
      </c>
      <c r="J49" s="28">
        <v>9.19</v>
      </c>
      <c r="K49" s="28">
        <v>1553.41</v>
      </c>
      <c r="L49" s="72">
        <v>197.31</v>
      </c>
      <c r="M49" s="138">
        <v>12384.7</v>
      </c>
      <c r="N49" s="28">
        <v>17376.810000000001</v>
      </c>
      <c r="O49" s="28">
        <v>0</v>
      </c>
      <c r="P49" s="28">
        <v>63980.44</v>
      </c>
      <c r="Q49" s="28">
        <v>136991.03</v>
      </c>
      <c r="R49" s="28">
        <v>42200.47</v>
      </c>
      <c r="S49" s="28">
        <v>31614.11</v>
      </c>
      <c r="T49" s="28">
        <v>25374.49</v>
      </c>
      <c r="U49" s="28">
        <v>8174.55</v>
      </c>
      <c r="V49" s="28">
        <v>606.82000000000005</v>
      </c>
      <c r="W49" s="28">
        <v>40055.07</v>
      </c>
      <c r="X49" s="72">
        <v>16426.810000000001</v>
      </c>
      <c r="Y49" s="28">
        <v>33459.980000000003</v>
      </c>
      <c r="Z49" s="28">
        <v>85993.41</v>
      </c>
      <c r="AA49" s="28">
        <v>446.98</v>
      </c>
      <c r="AB49" s="28">
        <v>53577.47</v>
      </c>
      <c r="AC49" s="125">
        <v>11265.42</v>
      </c>
      <c r="AD49" s="126">
        <v>11265.42</v>
      </c>
      <c r="AE49" s="126">
        <v>21938.73</v>
      </c>
      <c r="AF49" s="126">
        <v>5560.35</v>
      </c>
      <c r="AG49" s="126">
        <v>4099.0200000000004</v>
      </c>
      <c r="AH49" s="126">
        <v>5995.23</v>
      </c>
      <c r="AI49" s="126">
        <f>926.05+7148.41</f>
        <v>8074.46</v>
      </c>
      <c r="AJ49" s="126">
        <v>7114.47</v>
      </c>
      <c r="AK49" s="209">
        <v>9153.7800000000007</v>
      </c>
      <c r="AL49" s="126">
        <v>14366.22</v>
      </c>
      <c r="AM49" s="126">
        <v>15662.95</v>
      </c>
      <c r="AN49" s="126">
        <v>25910.46</v>
      </c>
      <c r="AO49" s="126">
        <v>0</v>
      </c>
      <c r="AP49" s="126">
        <v>0</v>
      </c>
      <c r="AQ49" s="126">
        <v>0</v>
      </c>
      <c r="AR49" s="126">
        <v>0</v>
      </c>
      <c r="AS49" s="126">
        <v>0</v>
      </c>
      <c r="AT49" s="126">
        <v>0</v>
      </c>
      <c r="AU49" s="126">
        <v>0</v>
      </c>
      <c r="AV49" s="126">
        <v>13843.53</v>
      </c>
      <c r="AW49" s="168">
        <v>8948.76</v>
      </c>
      <c r="AX49" s="104">
        <v>12939.32</v>
      </c>
      <c r="AY49" s="104">
        <f>38824.7</f>
        <v>38824.699999999997</v>
      </c>
      <c r="AZ49" s="104">
        <f>SUM(23755.58)</f>
        <v>23755.58</v>
      </c>
      <c r="BA49" s="104">
        <v>22818.54</v>
      </c>
      <c r="BB49" s="104">
        <f>SUM(22818.54)</f>
        <v>22818.54</v>
      </c>
      <c r="BC49" s="195">
        <f>0</f>
        <v>0</v>
      </c>
      <c r="BD49" s="104">
        <f>(1185.86+13467.71)</f>
        <v>14653.57</v>
      </c>
      <c r="BE49" s="104">
        <v>0</v>
      </c>
      <c r="BF49" s="104">
        <v>187.71</v>
      </c>
      <c r="BG49" s="195">
        <v>50233.16</v>
      </c>
      <c r="BH49" s="195">
        <v>6976.39</v>
      </c>
      <c r="BI49" s="168">
        <f t="shared" si="143"/>
        <v>-205.02000000000044</v>
      </c>
      <c r="BJ49" s="104">
        <f t="shared" si="128"/>
        <v>-1426.8999999999996</v>
      </c>
      <c r="BK49" s="104">
        <f t="shared" si="128"/>
        <v>23161.749999999996</v>
      </c>
      <c r="BL49" s="104">
        <f t="shared" si="128"/>
        <v>-2154.8799999999974</v>
      </c>
      <c r="BM49" s="104">
        <f t="shared" si="128"/>
        <v>22818.54</v>
      </c>
      <c r="BN49" s="104">
        <f t="shared" si="128"/>
        <v>22818.54</v>
      </c>
      <c r="BO49" s="104">
        <f t="shared" si="128"/>
        <v>0</v>
      </c>
      <c r="BP49" s="104">
        <f t="shared" si="129"/>
        <v>14653.57</v>
      </c>
      <c r="BQ49" s="104">
        <f t="shared" si="130"/>
        <v>0</v>
      </c>
      <c r="BR49" s="104">
        <f t="shared" si="131"/>
        <v>187.71</v>
      </c>
      <c r="BS49" s="104">
        <f t="shared" si="131"/>
        <v>50233.16</v>
      </c>
      <c r="BT49" s="106">
        <f t="shared" si="131"/>
        <v>-6867.14</v>
      </c>
      <c r="BU49" s="168">
        <v>0</v>
      </c>
      <c r="BV49" s="104">
        <v>19022.900000000001</v>
      </c>
      <c r="BW49" s="104">
        <v>9343.27</v>
      </c>
      <c r="BX49" s="104">
        <v>0</v>
      </c>
      <c r="BY49" s="104">
        <f>9413.34</f>
        <v>9413.34</v>
      </c>
      <c r="BZ49" s="104">
        <v>118.18</v>
      </c>
      <c r="CA49" s="195">
        <v>0</v>
      </c>
      <c r="CB49" s="104">
        <v>6020.5</v>
      </c>
      <c r="CC49" s="104">
        <v>6020.5</v>
      </c>
      <c r="CD49" s="195">
        <v>0</v>
      </c>
      <c r="CE49" s="195">
        <v>5455.08</v>
      </c>
      <c r="CF49" s="214"/>
      <c r="CG49" s="168">
        <f t="shared" si="144"/>
        <v>205.02000000000044</v>
      </c>
      <c r="CH49" s="104">
        <f t="shared" si="132"/>
        <v>20449.800000000003</v>
      </c>
      <c r="CI49" s="104">
        <f t="shared" si="133"/>
        <v>-13818.479999999996</v>
      </c>
      <c r="CJ49" s="104">
        <f t="shared" si="134"/>
        <v>2154.8799999999974</v>
      </c>
      <c r="CK49" s="104">
        <f t="shared" si="135"/>
        <v>-13405.2</v>
      </c>
      <c r="CL49" s="104">
        <f t="shared" si="136"/>
        <v>-22700.36</v>
      </c>
      <c r="CM49" s="104">
        <f t="shared" si="137"/>
        <v>0</v>
      </c>
      <c r="CN49" s="104">
        <f t="shared" si="138"/>
        <v>-8633.07</v>
      </c>
      <c r="CO49" s="104">
        <f t="shared" si="139"/>
        <v>6020.5</v>
      </c>
      <c r="CP49" s="104">
        <f t="shared" si="140"/>
        <v>-187.71</v>
      </c>
      <c r="CQ49" s="104">
        <f t="shared" si="141"/>
        <v>-44778.080000000002</v>
      </c>
      <c r="CR49" s="106">
        <f t="shared" si="142"/>
        <v>6867.14</v>
      </c>
    </row>
    <row r="50" spans="1:96" x14ac:dyDescent="0.25">
      <c r="A50" s="49"/>
      <c r="B50" s="96" t="s">
        <v>39</v>
      </c>
      <c r="C50" s="138">
        <f t="shared" ref="C50:AC50" si="145">SUM(C45:C49)</f>
        <v>2912107.69</v>
      </c>
      <c r="D50" s="28">
        <f t="shared" si="145"/>
        <v>2474927.7999999998</v>
      </c>
      <c r="E50" s="28">
        <f t="shared" si="145"/>
        <v>1695771.3399999999</v>
      </c>
      <c r="F50" s="28">
        <f t="shared" si="145"/>
        <v>1005234.6300000001</v>
      </c>
      <c r="G50" s="28">
        <f t="shared" si="145"/>
        <v>577118.37800000003</v>
      </c>
      <c r="H50" s="28">
        <f t="shared" si="145"/>
        <v>457694.14</v>
      </c>
      <c r="I50" s="28">
        <f t="shared" si="145"/>
        <v>409619.29</v>
      </c>
      <c r="J50" s="28">
        <f t="shared" si="145"/>
        <v>398212.09</v>
      </c>
      <c r="K50" s="28">
        <f t="shared" si="145"/>
        <v>459690.25</v>
      </c>
      <c r="L50" s="72">
        <f t="shared" si="145"/>
        <v>994612.07000000018</v>
      </c>
      <c r="M50" s="138">
        <f t="shared" si="145"/>
        <v>1837328.5600000003</v>
      </c>
      <c r="N50" s="28">
        <f t="shared" si="145"/>
        <v>2492447.9500000002</v>
      </c>
      <c r="O50" s="28">
        <f t="shared" si="145"/>
        <v>2327461.4499999997</v>
      </c>
      <c r="P50" s="28">
        <f t="shared" si="145"/>
        <v>2433355.2400000002</v>
      </c>
      <c r="Q50" s="28">
        <f t="shared" si="145"/>
        <v>2217320.13</v>
      </c>
      <c r="R50" s="28">
        <f t="shared" si="145"/>
        <v>1413116.18</v>
      </c>
      <c r="S50" s="28">
        <f t="shared" si="145"/>
        <v>633549.53</v>
      </c>
      <c r="T50" s="28">
        <f t="shared" si="145"/>
        <v>768076.92999999993</v>
      </c>
      <c r="U50" s="28">
        <f t="shared" si="145"/>
        <v>708504.4</v>
      </c>
      <c r="V50" s="28">
        <f t="shared" si="145"/>
        <v>738735.39999999991</v>
      </c>
      <c r="W50" s="28">
        <f t="shared" si="145"/>
        <v>792250.38</v>
      </c>
      <c r="X50" s="72">
        <f t="shared" si="145"/>
        <v>1154084.21</v>
      </c>
      <c r="Y50" s="28">
        <f t="shared" si="145"/>
        <v>2244225.62</v>
      </c>
      <c r="Z50" s="28">
        <f t="shared" si="145"/>
        <v>3941758.0100000002</v>
      </c>
      <c r="AA50" s="28">
        <f t="shared" si="145"/>
        <v>2881115.83</v>
      </c>
      <c r="AB50" s="28">
        <f t="shared" si="145"/>
        <v>2703887.5700000003</v>
      </c>
      <c r="AC50" s="28">
        <f t="shared" si="145"/>
        <v>1971849.1099999999</v>
      </c>
      <c r="AD50" s="46">
        <f t="shared" ref="AD50:AI50" si="146">SUM(AD45:AD49)</f>
        <v>1497970.94</v>
      </c>
      <c r="AE50" s="46">
        <f t="shared" si="146"/>
        <v>1011045.5899999999</v>
      </c>
      <c r="AF50" s="46">
        <f t="shared" si="146"/>
        <v>480921.24</v>
      </c>
      <c r="AG50" s="46">
        <f t="shared" si="146"/>
        <v>395572.27999999997</v>
      </c>
      <c r="AH50" s="46">
        <f t="shared" si="146"/>
        <v>418704.92</v>
      </c>
      <c r="AI50" s="46">
        <f t="shared" si="146"/>
        <v>366251.36</v>
      </c>
      <c r="AJ50" s="46">
        <f>SUM(AJ45:AJ49)</f>
        <v>422978.41999999993</v>
      </c>
      <c r="AK50" s="210">
        <f>SUM(AK45:AK49)</f>
        <v>766655.22</v>
      </c>
      <c r="AL50" s="46">
        <f>SUM(AL45:AL49)</f>
        <v>1383736.94</v>
      </c>
      <c r="AM50" s="46">
        <f>SUM(AM45:AM49)</f>
        <v>2484231.5100000002</v>
      </c>
      <c r="AN50" s="46">
        <f>SUM(AN45:AN49)</f>
        <v>2836004.2699999996</v>
      </c>
      <c r="AO50" s="46">
        <f t="shared" ref="AO50:AT50" si="147">SUM(AO45:AO49)</f>
        <v>2244196.5299999998</v>
      </c>
      <c r="AP50" s="46">
        <f t="shared" si="147"/>
        <v>1875465.87</v>
      </c>
      <c r="AQ50" s="46">
        <f t="shared" si="147"/>
        <v>1220647.3700000001</v>
      </c>
      <c r="AR50" s="46">
        <f t="shared" si="147"/>
        <v>377672.14999999997</v>
      </c>
      <c r="AS50" s="46">
        <f t="shared" si="147"/>
        <v>751781.85000000009</v>
      </c>
      <c r="AT50" s="46">
        <f t="shared" si="147"/>
        <v>523287.74</v>
      </c>
      <c r="AU50" s="46">
        <f t="shared" ref="AU50:BB50" si="148">SUM(AU45:AU49)</f>
        <v>570427.66999999993</v>
      </c>
      <c r="AV50" s="46">
        <f t="shared" si="148"/>
        <v>694847.7</v>
      </c>
      <c r="AW50" s="169">
        <f t="shared" si="148"/>
        <v>929918.36</v>
      </c>
      <c r="AX50" s="105">
        <f t="shared" si="148"/>
        <v>1823076.56</v>
      </c>
      <c r="AY50" s="105">
        <f t="shared" si="148"/>
        <v>2600306.4000000004</v>
      </c>
      <c r="AZ50" s="104">
        <f t="shared" si="148"/>
        <v>2668407.42</v>
      </c>
      <c r="BA50" s="104">
        <f t="shared" si="148"/>
        <v>2932971.2099999995</v>
      </c>
      <c r="BB50" s="104">
        <f t="shared" si="148"/>
        <v>2535087.94</v>
      </c>
      <c r="BC50" s="104">
        <f t="shared" ref="BC50:BH50" si="149">SUM(BC45:BC49)</f>
        <v>787369.98</v>
      </c>
      <c r="BD50" s="104">
        <f t="shared" si="149"/>
        <v>610980.52</v>
      </c>
      <c r="BE50" s="104">
        <f t="shared" si="149"/>
        <v>419034.13</v>
      </c>
      <c r="BF50" s="104">
        <f t="shared" si="149"/>
        <v>302594.77000000008</v>
      </c>
      <c r="BG50" s="104">
        <f t="shared" si="149"/>
        <v>471923.89</v>
      </c>
      <c r="BH50" s="104">
        <f t="shared" si="149"/>
        <v>371002.75000000006</v>
      </c>
      <c r="BI50" s="168">
        <f t="shared" si="143"/>
        <v>163263.14000000001</v>
      </c>
      <c r="BJ50" s="105">
        <f t="shared" si="128"/>
        <v>439339.62000000011</v>
      </c>
      <c r="BK50" s="105">
        <f t="shared" si="128"/>
        <v>116074.89000000013</v>
      </c>
      <c r="BL50" s="104">
        <f t="shared" si="128"/>
        <v>-167596.84999999963</v>
      </c>
      <c r="BM50" s="104">
        <f t="shared" si="128"/>
        <v>688774.6799999997</v>
      </c>
      <c r="BN50" s="104">
        <f t="shared" si="128"/>
        <v>659622.06999999983</v>
      </c>
      <c r="BO50" s="104">
        <f t="shared" si="128"/>
        <v>-433277.39000000013</v>
      </c>
      <c r="BP50" s="104">
        <f t="shared" si="129"/>
        <v>233308.37000000005</v>
      </c>
      <c r="BQ50" s="104">
        <f t="shared" si="130"/>
        <v>-332747.72000000009</v>
      </c>
      <c r="BR50" s="104">
        <f t="shared" si="131"/>
        <v>-220692.96999999991</v>
      </c>
      <c r="BS50" s="104">
        <f t="shared" si="131"/>
        <v>-98503.779999999912</v>
      </c>
      <c r="BT50" s="106">
        <f t="shared" si="131"/>
        <v>-323844.9499999999</v>
      </c>
      <c r="BU50" s="169">
        <f t="shared" ref="BU50:CF50" si="150">SUM(BU45:BU49)</f>
        <v>651233.60600000003</v>
      </c>
      <c r="BV50" s="105">
        <f>SUM(BV45:BV49)</f>
        <v>1160350.0699999998</v>
      </c>
      <c r="BW50" s="105">
        <f t="shared" si="150"/>
        <v>1314927.3700000001</v>
      </c>
      <c r="BX50" s="105">
        <f t="shared" si="150"/>
        <v>1287731.96</v>
      </c>
      <c r="BY50" s="105">
        <f t="shared" si="150"/>
        <v>999208.82</v>
      </c>
      <c r="BZ50" s="104">
        <v>902825.05</v>
      </c>
      <c r="CA50" s="104">
        <f t="shared" si="150"/>
        <v>666006.42000000016</v>
      </c>
      <c r="CB50" s="104">
        <f t="shared" si="150"/>
        <v>451132.22000000009</v>
      </c>
      <c r="CC50" s="104">
        <f t="shared" si="150"/>
        <v>439060.071</v>
      </c>
      <c r="CD50" s="104">
        <f t="shared" si="150"/>
        <v>315043.62</v>
      </c>
      <c r="CE50" s="104">
        <f t="shared" si="150"/>
        <v>372520.74999999994</v>
      </c>
      <c r="CF50" s="106">
        <f t="shared" si="150"/>
        <v>0</v>
      </c>
      <c r="CG50" s="168">
        <f t="shared" si="144"/>
        <v>487970.46600000001</v>
      </c>
      <c r="CH50" s="105">
        <f t="shared" si="132"/>
        <v>721010.44999999972</v>
      </c>
      <c r="CI50" s="105">
        <f t="shared" si="133"/>
        <v>1198852.48</v>
      </c>
      <c r="CJ50" s="104">
        <f t="shared" si="134"/>
        <v>1455328.8099999996</v>
      </c>
      <c r="CK50" s="104">
        <f t="shared" si="135"/>
        <v>310434.14000000025</v>
      </c>
      <c r="CL50" s="104">
        <f t="shared" si="136"/>
        <v>243202.98000000021</v>
      </c>
      <c r="CM50" s="104">
        <f t="shared" si="137"/>
        <v>1099283.8100000003</v>
      </c>
      <c r="CN50" s="104">
        <f t="shared" si="138"/>
        <v>217823.85000000003</v>
      </c>
      <c r="CO50" s="104">
        <f t="shared" si="139"/>
        <v>771807.79100000008</v>
      </c>
      <c r="CP50" s="104">
        <f t="shared" si="140"/>
        <v>535736.58999999985</v>
      </c>
      <c r="CQ50" s="104">
        <f t="shared" si="141"/>
        <v>471024.52999999985</v>
      </c>
      <c r="CR50" s="106">
        <f t="shared" si="142"/>
        <v>323844.9499999999</v>
      </c>
    </row>
    <row r="51" spans="1:96" x14ac:dyDescent="0.25">
      <c r="A51" s="49">
        <f>+A44+1</f>
        <v>7</v>
      </c>
      <c r="B51" s="103" t="s">
        <v>28</v>
      </c>
      <c r="C51" s="138"/>
      <c r="D51" s="28"/>
      <c r="E51" s="28"/>
      <c r="F51" s="28"/>
      <c r="G51" s="28"/>
      <c r="H51" s="28"/>
      <c r="I51" s="28"/>
      <c r="J51" s="28"/>
      <c r="K51" s="28"/>
      <c r="L51" s="72"/>
      <c r="M51" s="138"/>
      <c r="N51" s="28"/>
      <c r="O51" s="28"/>
      <c r="P51" s="28"/>
      <c r="Q51" s="28"/>
      <c r="R51" s="28"/>
      <c r="S51" s="28"/>
      <c r="T51" s="28"/>
      <c r="U51" s="28"/>
      <c r="V51" s="28"/>
      <c r="W51" s="28"/>
      <c r="X51" s="72"/>
      <c r="Y51" s="28"/>
      <c r="Z51" s="28"/>
      <c r="AA51" s="28"/>
      <c r="AB51" s="28"/>
      <c r="AC51" s="28"/>
      <c r="AD51" s="126"/>
      <c r="AE51" s="126"/>
      <c r="AF51" s="126"/>
      <c r="AG51" s="126"/>
      <c r="AH51" s="126"/>
      <c r="AI51" s="126"/>
      <c r="AJ51" s="126"/>
      <c r="AK51" s="209"/>
      <c r="AL51" s="126"/>
      <c r="AM51" s="126"/>
      <c r="AN51" s="126"/>
      <c r="AO51" s="126"/>
      <c r="AP51" s="126"/>
      <c r="AQ51" s="126"/>
      <c r="AR51" s="126"/>
      <c r="AS51" s="126"/>
      <c r="AT51" s="126"/>
      <c r="AU51" s="126"/>
      <c r="AV51" s="126"/>
      <c r="AW51" s="168"/>
      <c r="AX51" s="104"/>
      <c r="AY51" s="104"/>
      <c r="AZ51" s="104"/>
      <c r="BA51" s="44"/>
      <c r="BB51" s="44"/>
      <c r="BC51" s="195"/>
      <c r="BD51" s="104"/>
      <c r="BE51" s="104"/>
      <c r="BF51" s="104"/>
      <c r="BG51" s="44"/>
      <c r="BH51" s="97"/>
      <c r="BI51" s="168"/>
      <c r="BJ51" s="104"/>
      <c r="BK51" s="104"/>
      <c r="BL51" s="104"/>
      <c r="BM51" s="104"/>
      <c r="BN51" s="104"/>
      <c r="BO51" s="104"/>
      <c r="BP51" s="104"/>
      <c r="BQ51" s="104"/>
      <c r="BR51" s="104"/>
      <c r="BS51" s="104"/>
      <c r="BT51" s="106"/>
      <c r="BU51" s="168"/>
      <c r="BV51" s="104"/>
      <c r="BW51" s="104"/>
      <c r="BX51" s="104"/>
      <c r="BY51" s="104"/>
      <c r="BZ51" s="44"/>
      <c r="CA51" s="195"/>
      <c r="CB51" s="104"/>
      <c r="CC51" s="104"/>
      <c r="CD51" s="104"/>
      <c r="CE51" s="44"/>
      <c r="CF51" s="97"/>
      <c r="CG51" s="168"/>
      <c r="CH51" s="104"/>
      <c r="CI51" s="104"/>
      <c r="CJ51" s="104"/>
      <c r="CK51" s="104"/>
      <c r="CL51" s="104"/>
      <c r="CM51" s="104"/>
      <c r="CN51" s="104"/>
      <c r="CO51" s="104"/>
      <c r="CP51" s="104"/>
      <c r="CQ51" s="104"/>
      <c r="CR51" s="106"/>
    </row>
    <row r="52" spans="1:96" x14ac:dyDescent="0.25">
      <c r="A52" s="49"/>
      <c r="B52" s="96" t="s">
        <v>34</v>
      </c>
      <c r="C52" s="138">
        <v>565183.17000000004</v>
      </c>
      <c r="D52" s="28">
        <v>768273.07</v>
      </c>
      <c r="E52" s="28">
        <v>763312.6</v>
      </c>
      <c r="F52" s="28">
        <v>715276.34</v>
      </c>
      <c r="G52" s="28">
        <v>372135</v>
      </c>
      <c r="H52" s="28">
        <v>250136.21</v>
      </c>
      <c r="I52" s="28">
        <v>194954.51</v>
      </c>
      <c r="J52" s="28">
        <v>160335.88</v>
      </c>
      <c r="K52" s="28">
        <v>169676.32</v>
      </c>
      <c r="L52" s="72">
        <v>173297.3</v>
      </c>
      <c r="M52" s="138">
        <v>332931.3</v>
      </c>
      <c r="N52" s="28">
        <v>591048.44999999995</v>
      </c>
      <c r="O52" s="28">
        <v>901434.11</v>
      </c>
      <c r="P52" s="28">
        <v>977566.32</v>
      </c>
      <c r="Q52" s="28">
        <v>1003179.1</v>
      </c>
      <c r="R52" s="28">
        <v>905172.67</v>
      </c>
      <c r="S52" s="28">
        <v>670836.28</v>
      </c>
      <c r="T52" s="28">
        <v>288998.94</v>
      </c>
      <c r="U52" s="28">
        <v>234806.17</v>
      </c>
      <c r="V52" s="28">
        <v>241391.74</v>
      </c>
      <c r="W52" s="28">
        <f>233041.26+600</f>
        <v>233641.26</v>
      </c>
      <c r="X52" s="72">
        <f>259108.76+378</f>
        <v>259486.76</v>
      </c>
      <c r="Y52" s="28">
        <f>453036.02+323</f>
        <v>453359.02</v>
      </c>
      <c r="Z52" s="28">
        <f>787441.66</f>
        <v>787441.66</v>
      </c>
      <c r="AA52" s="28">
        <f>1267810.14+44</f>
        <v>1267854.1399999999</v>
      </c>
      <c r="AB52" s="28">
        <v>1280857.1499999999</v>
      </c>
      <c r="AC52" s="125">
        <v>1141169.3999999999</v>
      </c>
      <c r="AD52" s="126">
        <f>12301.14+868795.93+2319.21</f>
        <v>883416.28</v>
      </c>
      <c r="AE52" s="126">
        <v>532763.78</v>
      </c>
      <c r="AF52" s="126">
        <v>512255.17</v>
      </c>
      <c r="AG52" s="126">
        <f>8375.04+249798.51+406.51</f>
        <v>258580.06000000003</v>
      </c>
      <c r="AH52" s="126">
        <v>216073.34</v>
      </c>
      <c r="AI52" s="126">
        <f>6797.22+189566.6+188.36</f>
        <v>196552.18</v>
      </c>
      <c r="AJ52" s="126">
        <f>7867.05+180697.69+209.38</f>
        <v>188774.12</v>
      </c>
      <c r="AK52" s="209">
        <f>8912.69+185102.26</f>
        <v>194014.95</v>
      </c>
      <c r="AL52" s="126">
        <f>11472.45+402922.19</f>
        <v>414394.64</v>
      </c>
      <c r="AM52" s="126">
        <f>14113.02+721224.42</f>
        <v>735337.44000000006</v>
      </c>
      <c r="AN52" s="126">
        <f>19759.84+1235974.09</f>
        <v>1255733.9300000002</v>
      </c>
      <c r="AO52" s="126">
        <f>21005.8+1633052.03+431.67</f>
        <v>1654489.5</v>
      </c>
      <c r="AP52" s="126">
        <f>22302.81+1501845.76+416.14</f>
        <v>1524564.71</v>
      </c>
      <c r="AQ52" s="126">
        <f>23177.37+1366058.31+5.75</f>
        <v>1389241.4300000002</v>
      </c>
      <c r="AR52" s="126">
        <f>10989.5+416299.56+69.02</f>
        <v>427358.08</v>
      </c>
      <c r="AS52" s="126">
        <f>10939.79+323719.52+69.02</f>
        <v>334728.33</v>
      </c>
      <c r="AT52" s="126">
        <f>12900.33+371043.56+64.85</f>
        <v>384008.74</v>
      </c>
      <c r="AU52" s="126">
        <f>9207.87+239133.98+321.05</f>
        <v>248662.9</v>
      </c>
      <c r="AV52" s="126">
        <f>13677.83+315595.83+145.36</f>
        <v>329419.02</v>
      </c>
      <c r="AW52" s="168">
        <f>11332.94+299612.11+0.31</f>
        <v>310945.36</v>
      </c>
      <c r="AX52" s="104">
        <f>13151.06+412436.62</f>
        <v>425587.68</v>
      </c>
      <c r="AY52" s="104">
        <f>17677.56+874426.81+214.6</f>
        <v>892318.97000000009</v>
      </c>
      <c r="AZ52" s="104">
        <f>SUM(21559.37+1324371.46+335.63)</f>
        <v>1346266.46</v>
      </c>
      <c r="BA52" s="193">
        <f>SUM(28676.32+1879229.42+166.47)</f>
        <v>1908072.21</v>
      </c>
      <c r="BB52" s="193">
        <f>SUM(25649.19+1492846.18+166.47)</f>
        <v>1518661.8399999999</v>
      </c>
      <c r="BC52" s="195">
        <f>16211.51+878458.7</f>
        <v>894670.21</v>
      </c>
      <c r="BD52" s="104">
        <f>(10944.73+426460.65)</f>
        <v>437405.38</v>
      </c>
      <c r="BE52" s="104">
        <f>7568.04+229291.54+41.04</f>
        <v>236900.62000000002</v>
      </c>
      <c r="BF52" s="104">
        <f>5558.98+177869.21+97.92</f>
        <v>183526.11000000002</v>
      </c>
      <c r="BG52" s="195">
        <f>4548.47+121148.32+29.1</f>
        <v>125725.89000000001</v>
      </c>
      <c r="BH52" s="195">
        <v>181721.01999999996</v>
      </c>
      <c r="BI52" s="168">
        <f t="shared" ref="BI52:BI57" si="151">AW52-AK52</f>
        <v>116930.40999999997</v>
      </c>
      <c r="BJ52" s="104">
        <f t="shared" ref="BJ52:BJ57" si="152">AX52-AL52</f>
        <v>11193.039999999979</v>
      </c>
      <c r="BK52" s="104">
        <f t="shared" ref="BK52:BK57" si="153">AY52-AM52</f>
        <v>156981.53000000003</v>
      </c>
      <c r="BL52" s="104">
        <f t="shared" ref="BL52:BO57" si="154">AZ52-AN52</f>
        <v>90532.529999999795</v>
      </c>
      <c r="BM52" s="104">
        <f t="shared" si="154"/>
        <v>253582.70999999996</v>
      </c>
      <c r="BN52" s="104">
        <f t="shared" si="154"/>
        <v>-5902.8700000001118</v>
      </c>
      <c r="BO52" s="104">
        <f t="shared" si="154"/>
        <v>-494571.2200000002</v>
      </c>
      <c r="BP52" s="104">
        <f t="shared" ref="BP52:BP57" si="155">BD52-AR52</f>
        <v>10047.299999999988</v>
      </c>
      <c r="BQ52" s="104">
        <f t="shared" ref="BQ52:BQ57" si="156">BE52-AS52</f>
        <v>-97827.709999999992</v>
      </c>
      <c r="BR52" s="104">
        <f t="shared" ref="BR52:BT57" si="157">BF52-AT52</f>
        <v>-200482.62999999998</v>
      </c>
      <c r="BS52" s="104">
        <f t="shared" si="157"/>
        <v>-122937.00999999998</v>
      </c>
      <c r="BT52" s="106">
        <f t="shared" si="157"/>
        <v>-147698.00000000006</v>
      </c>
      <c r="BU52" s="104">
        <f>5764.14+151072.24</f>
        <v>156836.38</v>
      </c>
      <c r="BV52" s="104">
        <v>285433.53000000003</v>
      </c>
      <c r="BW52" s="104">
        <v>469439.43</v>
      </c>
      <c r="BX52" s="104">
        <v>446767.87</v>
      </c>
      <c r="BY52" s="104">
        <f>8850.56+502474.12+169.18</f>
        <v>511493.86</v>
      </c>
      <c r="BZ52" s="193">
        <v>422215.08</v>
      </c>
      <c r="CA52" s="195">
        <v>386308.31</v>
      </c>
      <c r="CB52" s="104">
        <v>265504.82</v>
      </c>
      <c r="CC52" s="104">
        <v>271615.53999999998</v>
      </c>
      <c r="CD52" s="104">
        <v>167953.03</v>
      </c>
      <c r="CE52" s="195">
        <v>120189.97</v>
      </c>
      <c r="CF52" s="214"/>
      <c r="CG52" s="168">
        <f t="shared" ref="CG52:CG57" si="158">BU52-BI52</f>
        <v>39905.97000000003</v>
      </c>
      <c r="CH52" s="104">
        <f t="shared" ref="CH52:CH57" si="159">BV52-BJ52</f>
        <v>274240.49000000005</v>
      </c>
      <c r="CI52" s="104">
        <f t="shared" ref="CI52:CI57" si="160">BW52-BK52</f>
        <v>312457.89999999997</v>
      </c>
      <c r="CJ52" s="104">
        <f t="shared" ref="CJ52:CJ57" si="161">BX52-BL52</f>
        <v>356235.3400000002</v>
      </c>
      <c r="CK52" s="104">
        <f t="shared" ref="CK52:CK57" si="162">BY52-BM52</f>
        <v>257911.15000000002</v>
      </c>
      <c r="CL52" s="104">
        <f t="shared" ref="CL52:CL57" si="163">BZ52-BN52</f>
        <v>428117.95000000013</v>
      </c>
      <c r="CM52" s="104">
        <f t="shared" ref="CM52:CM57" si="164">CA52-BO52</f>
        <v>880879.53000000026</v>
      </c>
      <c r="CN52" s="104">
        <f t="shared" ref="CN52:CN57" si="165">CB52-BP52</f>
        <v>255457.52000000002</v>
      </c>
      <c r="CO52" s="104">
        <f t="shared" ref="CO52:CO57" si="166">CC52-BQ52</f>
        <v>369443.25</v>
      </c>
      <c r="CP52" s="104">
        <f t="shared" ref="CP52:CP57" si="167">CD52-BR52</f>
        <v>368435.66</v>
      </c>
      <c r="CQ52" s="104">
        <f t="shared" ref="CQ52:CQ57" si="168">CE52-BS52</f>
        <v>243126.97999999998</v>
      </c>
      <c r="CR52" s="106">
        <f t="shared" ref="CR52:CR57" si="169">CF52-BT52</f>
        <v>147698.00000000006</v>
      </c>
    </row>
    <row r="53" spans="1:96" x14ac:dyDescent="0.25">
      <c r="A53" s="49"/>
      <c r="B53" s="96" t="s">
        <v>35</v>
      </c>
      <c r="C53" s="138">
        <v>311636.96999999997</v>
      </c>
      <c r="D53" s="28">
        <v>362843</v>
      </c>
      <c r="E53" s="28">
        <v>295236.59000000003</v>
      </c>
      <c r="F53" s="28">
        <v>263094.82</v>
      </c>
      <c r="G53" s="28">
        <v>169028.75</v>
      </c>
      <c r="H53" s="28">
        <v>126438.23</v>
      </c>
      <c r="I53" s="28">
        <v>98609.39</v>
      </c>
      <c r="J53" s="28">
        <v>91376.68</v>
      </c>
      <c r="K53" s="28">
        <v>96553.15</v>
      </c>
      <c r="L53" s="72">
        <v>87987.87</v>
      </c>
      <c r="M53" s="138">
        <v>177203.05</v>
      </c>
      <c r="N53" s="28">
        <v>304470.94</v>
      </c>
      <c r="O53" s="28">
        <v>341119.79</v>
      </c>
      <c r="P53" s="28">
        <v>316785.14</v>
      </c>
      <c r="Q53" s="28">
        <v>311960.15999999997</v>
      </c>
      <c r="R53" s="28">
        <v>141613.45000000001</v>
      </c>
      <c r="S53" s="28">
        <v>132979.01</v>
      </c>
      <c r="T53" s="28">
        <v>109082.29</v>
      </c>
      <c r="U53" s="28">
        <v>170562.86</v>
      </c>
      <c r="V53" s="28">
        <v>277996.78999999998</v>
      </c>
      <c r="W53" s="28">
        <v>316108.44</v>
      </c>
      <c r="X53" s="72">
        <v>250640.85</v>
      </c>
      <c r="Y53" s="28">
        <v>250858.89</v>
      </c>
      <c r="Z53" s="28">
        <v>426725.75</v>
      </c>
      <c r="AA53" s="28">
        <v>655520.25</v>
      </c>
      <c r="AB53" s="28">
        <v>469496.26</v>
      </c>
      <c r="AC53" s="125">
        <v>266788.14</v>
      </c>
      <c r="AD53" s="126">
        <f>2069.49+377821.22</f>
        <v>379890.70999999996</v>
      </c>
      <c r="AE53" s="126">
        <v>279505.63</v>
      </c>
      <c r="AF53" s="126">
        <v>182182.97</v>
      </c>
      <c r="AG53" s="126">
        <f>711.45+788292.15</f>
        <v>789003.6</v>
      </c>
      <c r="AH53" s="126">
        <v>71645.73</v>
      </c>
      <c r="AI53" s="126">
        <f>1114.65+75695.6</f>
        <v>76810.25</v>
      </c>
      <c r="AJ53" s="126">
        <f>1191.75+74597.6</f>
        <v>75789.350000000006</v>
      </c>
      <c r="AK53" s="209">
        <f>1291.93+66648.54</f>
        <v>67940.469999999987</v>
      </c>
      <c r="AL53" s="126">
        <f>1434.93+108719.93</f>
        <v>110154.85999999999</v>
      </c>
      <c r="AM53" s="126">
        <f>1952.96+210253.6</f>
        <v>212206.56</v>
      </c>
      <c r="AN53" s="126">
        <f>3220.62+427171.5</f>
        <v>430392.12</v>
      </c>
      <c r="AO53" s="126">
        <f>1812.69+(-264495.76)+0</f>
        <v>-262683.07</v>
      </c>
      <c r="AP53" s="126">
        <f>4490.42+439869.39</f>
        <v>444359.81</v>
      </c>
      <c r="AQ53" s="126">
        <f>4388.01+427424.17+0</f>
        <v>431812.18</v>
      </c>
      <c r="AR53" s="126">
        <f>2222.98+141114.77</f>
        <v>143337.75</v>
      </c>
      <c r="AS53" s="126">
        <f>2506.01+143391.41</f>
        <v>145897.42000000001</v>
      </c>
      <c r="AT53" s="126">
        <f>2418.48+158034.81</f>
        <v>160453.29</v>
      </c>
      <c r="AU53" s="126">
        <f>1640.6+110698.38</f>
        <v>112338.98000000001</v>
      </c>
      <c r="AV53" s="126">
        <f>2049.11+145997.16</f>
        <v>148046.26999999999</v>
      </c>
      <c r="AW53" s="168">
        <f>3088.51+167903.03</f>
        <v>170991.54</v>
      </c>
      <c r="AX53" s="104">
        <f>2707.16+197841.61</f>
        <v>200548.77</v>
      </c>
      <c r="AY53" s="104">
        <f>3555.52+370389.48</f>
        <v>373945</v>
      </c>
      <c r="AZ53" s="104">
        <f>SUM(5303.51+557318.98)</f>
        <v>562622.49</v>
      </c>
      <c r="BA53" s="193">
        <v>566797.56999999995</v>
      </c>
      <c r="BB53" s="193">
        <f>SUM(5252.59+571935.09)</f>
        <v>577187.67999999993</v>
      </c>
      <c r="BC53" s="195">
        <f>4193.24+402867.87</f>
        <v>407061.11</v>
      </c>
      <c r="BD53" s="104">
        <f>(2714.01+218125.84)</f>
        <v>220839.85</v>
      </c>
      <c r="BE53" s="104">
        <f>4321.59+150656.72</f>
        <v>154978.31</v>
      </c>
      <c r="BF53" s="104">
        <f>2975.18+137196.33</f>
        <v>140171.50999999998</v>
      </c>
      <c r="BG53" s="195">
        <f>1872.99+103715.91</f>
        <v>105588.90000000001</v>
      </c>
      <c r="BH53" s="195">
        <v>122361.4</v>
      </c>
      <c r="BI53" s="168">
        <f t="shared" si="151"/>
        <v>103051.07000000002</v>
      </c>
      <c r="BJ53" s="104">
        <f t="shared" si="152"/>
        <v>90393.91</v>
      </c>
      <c r="BK53" s="104">
        <f t="shared" si="153"/>
        <v>161738.44</v>
      </c>
      <c r="BL53" s="104">
        <f t="shared" si="154"/>
        <v>132230.37</v>
      </c>
      <c r="BM53" s="104">
        <f t="shared" si="154"/>
        <v>829480.6399999999</v>
      </c>
      <c r="BN53" s="104">
        <f t="shared" si="154"/>
        <v>132827.86999999994</v>
      </c>
      <c r="BO53" s="104">
        <f t="shared" si="154"/>
        <v>-24751.070000000007</v>
      </c>
      <c r="BP53" s="104">
        <f t="shared" si="155"/>
        <v>77502.100000000006</v>
      </c>
      <c r="BQ53" s="104">
        <f t="shared" si="156"/>
        <v>9080.8899999999849</v>
      </c>
      <c r="BR53" s="104">
        <f t="shared" si="157"/>
        <v>-20281.780000000028</v>
      </c>
      <c r="BS53" s="104">
        <f t="shared" si="157"/>
        <v>-6750.0800000000017</v>
      </c>
      <c r="BT53" s="106">
        <f t="shared" si="157"/>
        <v>-25684.869999999995</v>
      </c>
      <c r="BU53" s="104">
        <f>2400.63+99767.89</f>
        <v>102168.52</v>
      </c>
      <c r="BV53" s="104">
        <v>194176.04</v>
      </c>
      <c r="BW53" s="104">
        <v>358716.14</v>
      </c>
      <c r="BX53" s="104">
        <v>417179.21</v>
      </c>
      <c r="BY53" s="104">
        <f>3949.06+421130.21</f>
        <v>425079.27</v>
      </c>
      <c r="BZ53" s="193">
        <v>218112.22</v>
      </c>
      <c r="CA53" s="195">
        <v>172723</v>
      </c>
      <c r="CB53" s="104">
        <v>137600.56</v>
      </c>
      <c r="CC53" s="104">
        <v>139379.79</v>
      </c>
      <c r="CD53" s="104">
        <v>112857.98</v>
      </c>
      <c r="CE53" s="195">
        <v>80318.140000000014</v>
      </c>
      <c r="CF53" s="214"/>
      <c r="CG53" s="168">
        <f t="shared" si="158"/>
        <v>-882.55000000001746</v>
      </c>
      <c r="CH53" s="104">
        <f t="shared" si="159"/>
        <v>103782.13</v>
      </c>
      <c r="CI53" s="104">
        <f t="shared" si="160"/>
        <v>196977.7</v>
      </c>
      <c r="CJ53" s="104">
        <f t="shared" si="161"/>
        <v>284948.84000000003</v>
      </c>
      <c r="CK53" s="104">
        <f t="shared" si="162"/>
        <v>-404401.36999999988</v>
      </c>
      <c r="CL53" s="104">
        <f t="shared" si="163"/>
        <v>85284.350000000064</v>
      </c>
      <c r="CM53" s="104">
        <f t="shared" si="164"/>
        <v>197474.07</v>
      </c>
      <c r="CN53" s="104">
        <f t="shared" si="165"/>
        <v>60098.459999999992</v>
      </c>
      <c r="CO53" s="104">
        <f t="shared" si="166"/>
        <v>130298.90000000002</v>
      </c>
      <c r="CP53" s="104">
        <f t="shared" si="167"/>
        <v>133139.76</v>
      </c>
      <c r="CQ53" s="104">
        <f t="shared" si="168"/>
        <v>87068.220000000016</v>
      </c>
      <c r="CR53" s="106">
        <f t="shared" si="169"/>
        <v>25684.869999999995</v>
      </c>
    </row>
    <row r="54" spans="1:96" x14ac:dyDescent="0.25">
      <c r="A54" s="49"/>
      <c r="B54" s="96" t="s">
        <v>36</v>
      </c>
      <c r="C54" s="138">
        <v>22026.82</v>
      </c>
      <c r="D54" s="28">
        <v>39949.379999999997</v>
      </c>
      <c r="E54" s="28">
        <v>38481.879999999997</v>
      </c>
      <c r="F54" s="28">
        <v>34563.61</v>
      </c>
      <c r="G54" s="28">
        <v>17058.490000000002</v>
      </c>
      <c r="H54" s="28">
        <v>12137.06</v>
      </c>
      <c r="I54" s="28">
        <v>9229.06</v>
      </c>
      <c r="J54" s="28">
        <v>7415.67</v>
      </c>
      <c r="K54" s="28">
        <v>8722.85</v>
      </c>
      <c r="L54" s="72">
        <v>9783.5499999999993</v>
      </c>
      <c r="M54" s="138">
        <v>11083.03</v>
      </c>
      <c r="N54" s="28">
        <v>30654</v>
      </c>
      <c r="O54" s="28">
        <v>94776.79</v>
      </c>
      <c r="P54" s="28">
        <v>80308.47</v>
      </c>
      <c r="Q54" s="28">
        <v>106834.29</v>
      </c>
      <c r="R54" s="28">
        <v>67424.75</v>
      </c>
      <c r="S54" s="28">
        <v>47303.16</v>
      </c>
      <c r="T54" s="28">
        <v>27257.7</v>
      </c>
      <c r="U54" s="28">
        <v>9244.34</v>
      </c>
      <c r="V54" s="28">
        <v>10003.379999999999</v>
      </c>
      <c r="W54" s="28">
        <v>12268.17</v>
      </c>
      <c r="X54" s="72">
        <v>14628.96</v>
      </c>
      <c r="Y54" s="28">
        <v>17522.919999999998</v>
      </c>
      <c r="Z54" s="28">
        <v>44895.839999999997</v>
      </c>
      <c r="AA54" s="28">
        <v>51635.94</v>
      </c>
      <c r="AB54" s="28">
        <v>56675.38</v>
      </c>
      <c r="AC54" s="125">
        <v>43262.39</v>
      </c>
      <c r="AD54" s="126">
        <f>43728.15+5229.55+7864.13+589.33</f>
        <v>57411.16</v>
      </c>
      <c r="AE54" s="126">
        <v>29689.75</v>
      </c>
      <c r="AF54" s="126">
        <v>30648.27</v>
      </c>
      <c r="AG54" s="126">
        <v>13867.55</v>
      </c>
      <c r="AH54" s="126">
        <v>12334.75</v>
      </c>
      <c r="AI54" s="126">
        <f>8017.1+3114.62+58.47</f>
        <v>11190.19</v>
      </c>
      <c r="AJ54" s="126">
        <v>12131.57</v>
      </c>
      <c r="AK54" s="209">
        <v>10958.96</v>
      </c>
      <c r="AL54" s="126">
        <v>17704.8</v>
      </c>
      <c r="AM54" s="126">
        <v>34721.69</v>
      </c>
      <c r="AN54" s="126">
        <f>55437.45+6252.53+836.88+122.65</f>
        <v>62649.509999999995</v>
      </c>
      <c r="AO54" s="126">
        <f>56580.61+4360.16+(-1376.42)+(-1982.15)</f>
        <v>57582.200000000004</v>
      </c>
      <c r="AP54" s="126">
        <f>134469.22+10545.88+966.47+752.44</f>
        <v>146734.01</v>
      </c>
      <c r="AQ54" s="126">
        <f>75675.84+8439.56+22.11+752.44</f>
        <v>84889.95</v>
      </c>
      <c r="AR54" s="126">
        <f>15480.72+4171.62+95.93+408.46</f>
        <v>20156.73</v>
      </c>
      <c r="AS54" s="126">
        <f>11790.58+4949.63+172.57+292.12</f>
        <v>17204.899999999998</v>
      </c>
      <c r="AT54" s="126">
        <f>13053.45+5105.59+111.22+199.9</f>
        <v>18470.160000000003</v>
      </c>
      <c r="AU54" s="126">
        <f>15726.35+3788.13+39.65+425.92</f>
        <v>19980.05</v>
      </c>
      <c r="AV54" s="126">
        <f>12201.35+4881.25+46.1+393.44</f>
        <v>17522.139999999996</v>
      </c>
      <c r="AW54" s="168">
        <f>17515.48+5421.68+138.01+362.17</f>
        <v>23437.339999999997</v>
      </c>
      <c r="AX54" s="104">
        <f>18984.9+9689.04+386.92</f>
        <v>29060.86</v>
      </c>
      <c r="AY54" s="104">
        <f>30210.19+7526.18+34.68</f>
        <v>37771.049999999996</v>
      </c>
      <c r="AZ54" s="104">
        <f>SUM(42924.28+9247.41+282.98)</f>
        <v>52454.670000000006</v>
      </c>
      <c r="BA54" s="193">
        <f>SUM(48702.65+5574.22+86.01)</f>
        <v>54362.880000000005</v>
      </c>
      <c r="BB54" s="193">
        <f>SUM(60854.61+6840.97+86.01)</f>
        <v>67781.59</v>
      </c>
      <c r="BC54" s="195">
        <f>30732.48+6011.44+70.55</f>
        <v>36814.47</v>
      </c>
      <c r="BD54" s="104">
        <f>(15761.44+3462.66+34.54+62.49)</f>
        <v>19321.13</v>
      </c>
      <c r="BE54" s="104">
        <f>8868.5+2174.3+244.99+62.82</f>
        <v>11350.609999999999</v>
      </c>
      <c r="BF54" s="104">
        <f>4927.35+1127.93+140.25</f>
        <v>6195.5300000000007</v>
      </c>
      <c r="BG54" s="195">
        <f>3961.47+985.42+145.02</f>
        <v>5091.91</v>
      </c>
      <c r="BH54" s="195">
        <v>12163.4</v>
      </c>
      <c r="BI54" s="168">
        <f t="shared" si="151"/>
        <v>12478.379999999997</v>
      </c>
      <c r="BJ54" s="104">
        <f t="shared" si="152"/>
        <v>11356.060000000001</v>
      </c>
      <c r="BK54" s="104">
        <f t="shared" si="153"/>
        <v>3049.3599999999933</v>
      </c>
      <c r="BL54" s="104">
        <f t="shared" si="154"/>
        <v>-10194.839999999989</v>
      </c>
      <c r="BM54" s="104">
        <f t="shared" si="154"/>
        <v>-3219.3199999999997</v>
      </c>
      <c r="BN54" s="104">
        <f t="shared" si="154"/>
        <v>-78952.420000000013</v>
      </c>
      <c r="BO54" s="104">
        <f t="shared" si="154"/>
        <v>-48075.479999999996</v>
      </c>
      <c r="BP54" s="104">
        <f t="shared" si="155"/>
        <v>-835.59999999999854</v>
      </c>
      <c r="BQ54" s="104">
        <f t="shared" si="156"/>
        <v>-5854.2899999999991</v>
      </c>
      <c r="BR54" s="104">
        <f t="shared" si="157"/>
        <v>-12274.630000000003</v>
      </c>
      <c r="BS54" s="104">
        <f t="shared" si="157"/>
        <v>-14888.14</v>
      </c>
      <c r="BT54" s="106">
        <f t="shared" si="157"/>
        <v>-5358.7399999999961</v>
      </c>
      <c r="BU54" s="104">
        <f>9412.2+808.28</f>
        <v>10220.480000000001</v>
      </c>
      <c r="BV54" s="104">
        <v>7978.42</v>
      </c>
      <c r="BW54" s="104">
        <v>21340.11</v>
      </c>
      <c r="BX54" s="104">
        <v>16522.439999999999</v>
      </c>
      <c r="BY54" s="104">
        <f>16821.87+2324.62+331.44</f>
        <v>19477.929999999997</v>
      </c>
      <c r="BZ54" s="193">
        <v>15398.869999999999</v>
      </c>
      <c r="CA54" s="195">
        <v>18125.95</v>
      </c>
      <c r="CB54" s="104">
        <v>12227.21</v>
      </c>
      <c r="CC54" s="104">
        <v>14390.59</v>
      </c>
      <c r="CD54" s="104">
        <v>7114.2199999999993</v>
      </c>
      <c r="CE54" s="195">
        <v>4452.8900000000003</v>
      </c>
      <c r="CF54" s="214"/>
      <c r="CG54" s="168">
        <f t="shared" si="158"/>
        <v>-2257.899999999996</v>
      </c>
      <c r="CH54" s="104">
        <f t="shared" si="159"/>
        <v>-3377.6400000000012</v>
      </c>
      <c r="CI54" s="104">
        <f t="shared" si="160"/>
        <v>18290.750000000007</v>
      </c>
      <c r="CJ54" s="104">
        <f t="shared" si="161"/>
        <v>26717.279999999988</v>
      </c>
      <c r="CK54" s="104">
        <f t="shared" si="162"/>
        <v>22697.249999999996</v>
      </c>
      <c r="CL54" s="104">
        <f t="shared" si="163"/>
        <v>94351.290000000008</v>
      </c>
      <c r="CM54" s="104">
        <f t="shared" si="164"/>
        <v>66201.429999999993</v>
      </c>
      <c r="CN54" s="104">
        <f t="shared" si="165"/>
        <v>13062.809999999998</v>
      </c>
      <c r="CO54" s="104">
        <f t="shared" si="166"/>
        <v>20244.879999999997</v>
      </c>
      <c r="CP54" s="104">
        <f t="shared" si="167"/>
        <v>19388.850000000002</v>
      </c>
      <c r="CQ54" s="104">
        <f t="shared" si="168"/>
        <v>19341.03</v>
      </c>
      <c r="CR54" s="106">
        <f t="shared" si="169"/>
        <v>5358.7399999999961</v>
      </c>
    </row>
    <row r="55" spans="1:96" x14ac:dyDescent="0.25">
      <c r="A55" s="49"/>
      <c r="B55" s="96" t="s">
        <v>37</v>
      </c>
      <c r="C55" s="138">
        <v>5534.49</v>
      </c>
      <c r="D55" s="28">
        <v>39453.089999999997</v>
      </c>
      <c r="E55" s="28">
        <v>33265</v>
      </c>
      <c r="F55" s="28">
        <v>28762.7</v>
      </c>
      <c r="G55" s="28">
        <v>10652.73</v>
      </c>
      <c r="H55" s="28">
        <v>3559.7</v>
      </c>
      <c r="I55" s="28">
        <v>3559.74</v>
      </c>
      <c r="J55" s="28">
        <v>2181.9</v>
      </c>
      <c r="K55" s="28">
        <v>5107.8999999999996</v>
      </c>
      <c r="L55" s="72">
        <v>4680.21</v>
      </c>
      <c r="M55" s="138">
        <v>11144.76</v>
      </c>
      <c r="N55" s="28">
        <v>24862.84</v>
      </c>
      <c r="O55" s="28">
        <v>40777.69</v>
      </c>
      <c r="P55" s="28">
        <v>112536.49</v>
      </c>
      <c r="Q55" s="28">
        <v>153401.39000000001</v>
      </c>
      <c r="R55" s="28">
        <v>85734.79</v>
      </c>
      <c r="S55" s="28">
        <v>56262.77</v>
      </c>
      <c r="T55" s="28">
        <v>22342.16</v>
      </c>
      <c r="U55" s="28">
        <v>10322.44</v>
      </c>
      <c r="V55" s="28">
        <v>14465.34</v>
      </c>
      <c r="W55" s="28">
        <v>7141.64</v>
      </c>
      <c r="X55" s="72">
        <v>9133.86</v>
      </c>
      <c r="Y55" s="28">
        <v>29959.3</v>
      </c>
      <c r="Z55" s="28">
        <v>78470.34</v>
      </c>
      <c r="AA55" s="28">
        <v>75994.98</v>
      </c>
      <c r="AB55" s="28">
        <v>76436.25</v>
      </c>
      <c r="AC55" s="125">
        <v>69451.600000000006</v>
      </c>
      <c r="AD55" s="126">
        <f>33867.58+6458.94+81173.86</f>
        <v>121500.38</v>
      </c>
      <c r="AE55" s="126">
        <v>34219.89</v>
      </c>
      <c r="AF55" s="126">
        <v>36261.919999999998</v>
      </c>
      <c r="AG55" s="126">
        <v>18296.150000000001</v>
      </c>
      <c r="AH55" s="126">
        <v>22432.75</v>
      </c>
      <c r="AI55" s="126">
        <f>3969.94+3291.61+702.58+3289.3</f>
        <v>11253.43</v>
      </c>
      <c r="AJ55" s="126">
        <v>12660.62</v>
      </c>
      <c r="AK55" s="209">
        <v>10139.99</v>
      </c>
      <c r="AL55" s="126">
        <v>27665.439999999999</v>
      </c>
      <c r="AM55" s="126">
        <v>28863.58</v>
      </c>
      <c r="AN55" s="126">
        <f>24458.62+5018.21+9452.49+13019.5</f>
        <v>51948.82</v>
      </c>
      <c r="AO55" s="126">
        <f>40673.55+13764.24+17799.14</f>
        <v>72236.929999999993</v>
      </c>
      <c r="AP55" s="126">
        <f>79099.02+5944.91+2909.04+7250.85</f>
        <v>95203.82</v>
      </c>
      <c r="AQ55" s="126">
        <f>81957.84+4687.33+2055.09+8248.97</f>
        <v>96949.23</v>
      </c>
      <c r="AR55" s="126">
        <f>8336.28+4602.21+25861.91+4353.06</f>
        <v>43153.46</v>
      </c>
      <c r="AS55" s="126">
        <f>8509.95+5819.52+5527.51+4691.76</f>
        <v>24548.740000000005</v>
      </c>
      <c r="AT55" s="126">
        <f>7717.78+7123.8+1166.59+4472.42</f>
        <v>20480.59</v>
      </c>
      <c r="AU55" s="126">
        <f>12779.35+9987.62+550.37+3387.85</f>
        <v>26705.19</v>
      </c>
      <c r="AV55" s="126">
        <f>8765.5+6426.56+460.21+4263.36</f>
        <v>19915.63</v>
      </c>
      <c r="AW55" s="168">
        <f>2928.28+5575.34+1456.47+4226.98</f>
        <v>14187.07</v>
      </c>
      <c r="AX55" s="104">
        <f>17797.4+6366.32+702.45+4578.42</f>
        <v>29444.590000000004</v>
      </c>
      <c r="AY55" s="104">
        <f>23713.05+5420.09+42.52+9830.63</f>
        <v>39006.29</v>
      </c>
      <c r="AZ55" s="104">
        <f>SUM(34825+12241.52+84.39+4968.11)</f>
        <v>52119.020000000004</v>
      </c>
      <c r="BA55" s="193">
        <f>SUM(78808.02+13162.12+468.59)</f>
        <v>92438.73</v>
      </c>
      <c r="BB55" s="193">
        <f>SUM(99579.03+13868.38+468.59)</f>
        <v>113916</v>
      </c>
      <c r="BC55" s="195">
        <f>42182.29+11313.66+4299.9+57.43</f>
        <v>57853.279999999999</v>
      </c>
      <c r="BD55" s="104">
        <f>(16728.25+4894.28+327.4+607.22)</f>
        <v>22557.15</v>
      </c>
      <c r="BE55" s="104">
        <f>7628.79+5153.45+449.38+157.61</f>
        <v>13389.23</v>
      </c>
      <c r="BF55" s="104">
        <f>6660.58+3124.8+53.08+168.94</f>
        <v>10007.400000000001</v>
      </c>
      <c r="BG55" s="195">
        <f>6036.57+2258.3+47.8+113.57</f>
        <v>8456.239999999998</v>
      </c>
      <c r="BH55" s="195">
        <v>10013.93</v>
      </c>
      <c r="BI55" s="168">
        <f t="shared" si="151"/>
        <v>4047.08</v>
      </c>
      <c r="BJ55" s="104">
        <f t="shared" si="152"/>
        <v>1779.1500000000051</v>
      </c>
      <c r="BK55" s="104">
        <f t="shared" si="153"/>
        <v>10142.709999999999</v>
      </c>
      <c r="BL55" s="104">
        <f t="shared" si="154"/>
        <v>170.20000000000437</v>
      </c>
      <c r="BM55" s="104">
        <f t="shared" si="154"/>
        <v>20201.800000000003</v>
      </c>
      <c r="BN55" s="104">
        <f t="shared" si="154"/>
        <v>18712.179999999993</v>
      </c>
      <c r="BO55" s="104">
        <f t="shared" si="154"/>
        <v>-39095.949999999997</v>
      </c>
      <c r="BP55" s="104">
        <f t="shared" si="155"/>
        <v>-20596.309999999998</v>
      </c>
      <c r="BQ55" s="104">
        <f t="shared" si="156"/>
        <v>-11159.510000000006</v>
      </c>
      <c r="BR55" s="104">
        <f t="shared" si="157"/>
        <v>-10473.189999999999</v>
      </c>
      <c r="BS55" s="104">
        <f t="shared" si="157"/>
        <v>-18248.95</v>
      </c>
      <c r="BT55" s="106">
        <f t="shared" si="157"/>
        <v>-9901.7000000000007</v>
      </c>
      <c r="BU55" s="104">
        <f>7831.9+2395.58+74.55</f>
        <v>10302.029999999999</v>
      </c>
      <c r="BV55" s="104">
        <v>14896.69</v>
      </c>
      <c r="BW55" s="104">
        <v>27491.79</v>
      </c>
      <c r="BX55" s="104">
        <v>23848.18</v>
      </c>
      <c r="BY55" s="104">
        <f>25288.51+3472.09+4409.4+890.88</f>
        <v>34060.879999999997</v>
      </c>
      <c r="BZ55" s="193">
        <v>28545.059999999998</v>
      </c>
      <c r="CA55" s="195">
        <v>33734.939999999995</v>
      </c>
      <c r="CB55" s="104">
        <v>55524.639999999999</v>
      </c>
      <c r="CC55" s="104">
        <v>0</v>
      </c>
      <c r="CD55" s="104">
        <v>12943.59</v>
      </c>
      <c r="CE55" s="195">
        <v>11335.68</v>
      </c>
      <c r="CF55" s="214"/>
      <c r="CG55" s="168">
        <f t="shared" si="158"/>
        <v>6254.9499999999989</v>
      </c>
      <c r="CH55" s="104">
        <f t="shared" si="159"/>
        <v>13117.539999999995</v>
      </c>
      <c r="CI55" s="104">
        <f t="shared" si="160"/>
        <v>17349.080000000002</v>
      </c>
      <c r="CJ55" s="104">
        <f t="shared" si="161"/>
        <v>23677.979999999996</v>
      </c>
      <c r="CK55" s="104">
        <f t="shared" si="162"/>
        <v>13859.079999999994</v>
      </c>
      <c r="CL55" s="104">
        <f t="shared" si="163"/>
        <v>9832.8800000000047</v>
      </c>
      <c r="CM55" s="104">
        <f t="shared" si="164"/>
        <v>72830.889999999985</v>
      </c>
      <c r="CN55" s="104">
        <f t="shared" si="165"/>
        <v>76120.95</v>
      </c>
      <c r="CO55" s="104">
        <f t="shared" si="166"/>
        <v>11159.510000000006</v>
      </c>
      <c r="CP55" s="104">
        <f t="shared" si="167"/>
        <v>23416.78</v>
      </c>
      <c r="CQ55" s="104">
        <f t="shared" si="168"/>
        <v>29584.63</v>
      </c>
      <c r="CR55" s="106">
        <f t="shared" si="169"/>
        <v>9901.7000000000007</v>
      </c>
    </row>
    <row r="56" spans="1:96" x14ac:dyDescent="0.25">
      <c r="A56" s="49"/>
      <c r="B56" s="96" t="s">
        <v>38</v>
      </c>
      <c r="C56" s="138">
        <v>0</v>
      </c>
      <c r="D56" s="28">
        <v>0</v>
      </c>
      <c r="E56" s="28">
        <v>0</v>
      </c>
      <c r="F56" s="28">
        <v>0</v>
      </c>
      <c r="G56" s="28">
        <v>0</v>
      </c>
      <c r="H56" s="28">
        <v>0</v>
      </c>
      <c r="I56" s="28">
        <v>19.53</v>
      </c>
      <c r="J56" s="28">
        <v>0</v>
      </c>
      <c r="K56" s="28">
        <v>9.19</v>
      </c>
      <c r="L56" s="72">
        <v>0</v>
      </c>
      <c r="M56" s="138">
        <v>2.19</v>
      </c>
      <c r="N56" s="28">
        <v>12384.7</v>
      </c>
      <c r="O56" s="28">
        <v>0</v>
      </c>
      <c r="P56" s="28">
        <v>0</v>
      </c>
      <c r="Q56" s="28">
        <v>43104.74</v>
      </c>
      <c r="R56" s="28">
        <v>117764.4</v>
      </c>
      <c r="S56" s="28">
        <v>918.5</v>
      </c>
      <c r="T56" s="28">
        <v>25110.5</v>
      </c>
      <c r="U56" s="28">
        <v>1252.43</v>
      </c>
      <c r="V56" s="28">
        <v>1316.52</v>
      </c>
      <c r="W56" s="28">
        <v>606.82000000000005</v>
      </c>
      <c r="X56" s="72">
        <v>0</v>
      </c>
      <c r="Y56" s="28">
        <v>7954.2</v>
      </c>
      <c r="Z56" s="28">
        <v>0</v>
      </c>
      <c r="AA56" s="28">
        <v>0</v>
      </c>
      <c r="AB56" s="28">
        <v>0</v>
      </c>
      <c r="AC56" s="125">
        <v>20739.28</v>
      </c>
      <c r="AD56" s="126">
        <v>20739.28</v>
      </c>
      <c r="AE56" s="126">
        <v>11265.42</v>
      </c>
      <c r="AF56" s="126">
        <v>5463.48</v>
      </c>
      <c r="AG56" s="126">
        <v>4305.21</v>
      </c>
      <c r="AH56" s="126">
        <v>3180.52</v>
      </c>
      <c r="AI56" s="126">
        <f>5995.23</f>
        <v>5995.23</v>
      </c>
      <c r="AJ56" s="126">
        <v>7148.41</v>
      </c>
      <c r="AK56" s="209">
        <v>6188.42</v>
      </c>
      <c r="AL56" s="126">
        <v>9153.7800000000007</v>
      </c>
      <c r="AM56" s="126">
        <v>0</v>
      </c>
      <c r="AN56" s="126">
        <v>4.4000000000000004</v>
      </c>
      <c r="AO56" s="126">
        <v>0</v>
      </c>
      <c r="AP56" s="126">
        <v>0</v>
      </c>
      <c r="AQ56" s="126">
        <v>0</v>
      </c>
      <c r="AR56" s="126">
        <v>0</v>
      </c>
      <c r="AS56" s="126">
        <v>0</v>
      </c>
      <c r="AT56" s="126">
        <v>0</v>
      </c>
      <c r="AU56" s="126">
        <v>0</v>
      </c>
      <c r="AV56" s="126">
        <v>0</v>
      </c>
      <c r="AW56" s="168">
        <v>13843.53</v>
      </c>
      <c r="AX56" s="104">
        <v>0</v>
      </c>
      <c r="AY56" s="127">
        <v>12939.32</v>
      </c>
      <c r="AZ56" s="104">
        <f>SUM(38824.7)</f>
        <v>38824.699999999997</v>
      </c>
      <c r="BA56" s="193">
        <f>SUM(23755.58)</f>
        <v>23755.58</v>
      </c>
      <c r="BB56" s="193">
        <f>SUM(23755.58)</f>
        <v>23755.58</v>
      </c>
      <c r="BC56" s="195">
        <v>0</v>
      </c>
      <c r="BD56" s="104"/>
      <c r="BE56" s="104">
        <v>0</v>
      </c>
      <c r="BF56" s="104">
        <v>0</v>
      </c>
      <c r="BG56" s="104">
        <v>0</v>
      </c>
      <c r="BH56" s="195">
        <v>50233.16</v>
      </c>
      <c r="BI56" s="168">
        <f t="shared" si="151"/>
        <v>7655.1100000000006</v>
      </c>
      <c r="BJ56" s="104">
        <f t="shared" si="152"/>
        <v>-9153.7800000000007</v>
      </c>
      <c r="BK56" s="127">
        <f t="shared" si="153"/>
        <v>12939.32</v>
      </c>
      <c r="BL56" s="104">
        <f t="shared" si="154"/>
        <v>38820.299999999996</v>
      </c>
      <c r="BM56" s="104">
        <f t="shared" si="154"/>
        <v>23755.58</v>
      </c>
      <c r="BN56" s="104">
        <f t="shared" si="154"/>
        <v>23755.58</v>
      </c>
      <c r="BO56" s="104">
        <f t="shared" si="154"/>
        <v>0</v>
      </c>
      <c r="BP56" s="104">
        <f t="shared" si="155"/>
        <v>0</v>
      </c>
      <c r="BQ56" s="104">
        <f t="shared" si="156"/>
        <v>0</v>
      </c>
      <c r="BR56" s="104">
        <f t="shared" si="157"/>
        <v>0</v>
      </c>
      <c r="BS56" s="104">
        <f t="shared" si="157"/>
        <v>0</v>
      </c>
      <c r="BT56" s="106">
        <f t="shared" si="157"/>
        <v>50233.16</v>
      </c>
      <c r="BU56" s="104">
        <v>6976.39</v>
      </c>
      <c r="BV56" s="104">
        <v>0</v>
      </c>
      <c r="BW56" s="104">
        <v>19022.900000000001</v>
      </c>
      <c r="BX56" s="104">
        <v>0</v>
      </c>
      <c r="BY56" s="104">
        <v>76.89</v>
      </c>
      <c r="BZ56" s="193">
        <v>0</v>
      </c>
      <c r="CA56" s="195">
        <v>0</v>
      </c>
      <c r="CB56" s="104">
        <v>0</v>
      </c>
      <c r="CC56" s="104">
        <v>0</v>
      </c>
      <c r="CD56" s="104">
        <v>0</v>
      </c>
      <c r="CE56" s="104">
        <v>0</v>
      </c>
      <c r="CF56" s="214"/>
      <c r="CG56" s="168">
        <f t="shared" si="158"/>
        <v>-678.72000000000025</v>
      </c>
      <c r="CH56" s="104">
        <f t="shared" si="159"/>
        <v>9153.7800000000007</v>
      </c>
      <c r="CI56" s="127">
        <f t="shared" si="160"/>
        <v>6083.5800000000017</v>
      </c>
      <c r="CJ56" s="104">
        <f t="shared" si="161"/>
        <v>-38820.299999999996</v>
      </c>
      <c r="CK56" s="104">
        <f t="shared" si="162"/>
        <v>-23678.690000000002</v>
      </c>
      <c r="CL56" s="104">
        <f t="shared" si="163"/>
        <v>-23755.58</v>
      </c>
      <c r="CM56" s="104">
        <f t="shared" si="164"/>
        <v>0</v>
      </c>
      <c r="CN56" s="104">
        <f t="shared" si="165"/>
        <v>0</v>
      </c>
      <c r="CO56" s="104">
        <f t="shared" si="166"/>
        <v>0</v>
      </c>
      <c r="CP56" s="104">
        <f t="shared" si="167"/>
        <v>0</v>
      </c>
      <c r="CQ56" s="104">
        <f t="shared" si="168"/>
        <v>0</v>
      </c>
      <c r="CR56" s="106">
        <f t="shared" si="169"/>
        <v>-50233.16</v>
      </c>
    </row>
    <row r="57" spans="1:96" x14ac:dyDescent="0.25">
      <c r="A57" s="49"/>
      <c r="B57" s="96" t="s">
        <v>39</v>
      </c>
      <c r="C57" s="138">
        <f>SUM(C52:C56)</f>
        <v>904381.45</v>
      </c>
      <c r="D57" s="28">
        <f>SUM(D52:D56)</f>
        <v>1210518.5399999998</v>
      </c>
      <c r="E57" s="28">
        <f>SUM(E52:E56)</f>
        <v>1130296.0699999998</v>
      </c>
      <c r="F57" s="28">
        <f>SUM(F52:F56)</f>
        <v>1041697.4699999999</v>
      </c>
      <c r="G57" s="28">
        <f>SUM(G52:G56)</f>
        <v>568874.97</v>
      </c>
      <c r="H57" s="28">
        <f>SUM(H45:H56)</f>
        <v>1307659.48</v>
      </c>
      <c r="I57" s="28">
        <f t="shared" ref="I57:AC57" si="170">SUM(I52:I56)</f>
        <v>306372.23000000004</v>
      </c>
      <c r="J57" s="28">
        <f t="shared" si="170"/>
        <v>261310.13</v>
      </c>
      <c r="K57" s="28">
        <f t="shared" si="170"/>
        <v>280069.40999999997</v>
      </c>
      <c r="L57" s="72">
        <f t="shared" si="170"/>
        <v>275748.93</v>
      </c>
      <c r="M57" s="138">
        <f t="shared" si="170"/>
        <v>532364.32999999996</v>
      </c>
      <c r="N57" s="28">
        <f t="shared" si="170"/>
        <v>963420.92999999982</v>
      </c>
      <c r="O57" s="28">
        <f t="shared" si="170"/>
        <v>1378108.38</v>
      </c>
      <c r="P57" s="28">
        <f t="shared" si="170"/>
        <v>1487196.42</v>
      </c>
      <c r="Q57" s="28">
        <f t="shared" si="170"/>
        <v>1618479.68</v>
      </c>
      <c r="R57" s="28">
        <f t="shared" si="170"/>
        <v>1317710.06</v>
      </c>
      <c r="S57" s="28">
        <f t="shared" si="170"/>
        <v>908299.72000000009</v>
      </c>
      <c r="T57" s="28">
        <f t="shared" si="170"/>
        <v>472791.58999999997</v>
      </c>
      <c r="U57" s="28">
        <f t="shared" si="170"/>
        <v>426188.24000000005</v>
      </c>
      <c r="V57" s="28">
        <f t="shared" si="170"/>
        <v>545173.7699999999</v>
      </c>
      <c r="W57" s="28">
        <f t="shared" si="170"/>
        <v>569766.32999999996</v>
      </c>
      <c r="X57" s="72">
        <f t="shared" si="170"/>
        <v>533890.42999999993</v>
      </c>
      <c r="Y57" s="28">
        <f t="shared" si="170"/>
        <v>759654.33000000007</v>
      </c>
      <c r="Z57" s="28">
        <f t="shared" si="170"/>
        <v>1337533.5900000003</v>
      </c>
      <c r="AA57" s="28">
        <f t="shared" si="170"/>
        <v>2051005.3099999998</v>
      </c>
      <c r="AB57" s="28">
        <f t="shared" si="170"/>
        <v>1883465.0399999998</v>
      </c>
      <c r="AC57" s="28">
        <f t="shared" si="170"/>
        <v>1541410.81</v>
      </c>
      <c r="AD57" s="46">
        <f t="shared" ref="AD57:AI57" si="171">SUM(AD52:AD56)</f>
        <v>1462957.8099999998</v>
      </c>
      <c r="AE57" s="46">
        <f t="shared" si="171"/>
        <v>887444.47000000009</v>
      </c>
      <c r="AF57" s="46">
        <f t="shared" si="171"/>
        <v>766811.81</v>
      </c>
      <c r="AG57" s="46">
        <f t="shared" si="171"/>
        <v>1084052.5699999998</v>
      </c>
      <c r="AH57" s="46">
        <f t="shared" si="171"/>
        <v>325667.09000000003</v>
      </c>
      <c r="AI57" s="46">
        <f t="shared" si="171"/>
        <v>301801.27999999997</v>
      </c>
      <c r="AJ57" s="46">
        <f>SUM(AJ52:AJ56)</f>
        <v>296504.06999999995</v>
      </c>
      <c r="AK57" s="210">
        <f>SUM(AK52:AK56)</f>
        <v>289242.78999999998</v>
      </c>
      <c r="AL57" s="46">
        <f>SUM(AL52:AL56)</f>
        <v>579073.52</v>
      </c>
      <c r="AM57" s="46">
        <f>SUM(AM52:AM56)</f>
        <v>1011129.2699999999</v>
      </c>
      <c r="AN57" s="46">
        <f>SUM(AN52:AN56)</f>
        <v>1800728.7800000003</v>
      </c>
      <c r="AO57" s="46">
        <f t="shared" ref="AO57:AT57" si="172">SUM(AO52:AO56)</f>
        <v>1521625.5599999998</v>
      </c>
      <c r="AP57" s="46">
        <f t="shared" si="172"/>
        <v>2210862.35</v>
      </c>
      <c r="AQ57" s="46">
        <f t="shared" si="172"/>
        <v>2002892.79</v>
      </c>
      <c r="AR57" s="46">
        <f t="shared" si="172"/>
        <v>634006.02</v>
      </c>
      <c r="AS57" s="46">
        <f t="shared" si="172"/>
        <v>522379.39</v>
      </c>
      <c r="AT57" s="46">
        <f t="shared" si="172"/>
        <v>583412.78</v>
      </c>
      <c r="AU57" s="46">
        <f t="shared" ref="AU57:BB57" si="173">SUM(AU52:AU56)</f>
        <v>407687.12</v>
      </c>
      <c r="AV57" s="46">
        <f t="shared" si="173"/>
        <v>514903.06000000006</v>
      </c>
      <c r="AW57" s="168">
        <f t="shared" si="173"/>
        <v>533404.84</v>
      </c>
      <c r="AX57" s="104">
        <f t="shared" si="173"/>
        <v>684641.89999999991</v>
      </c>
      <c r="AY57" s="105">
        <f t="shared" si="173"/>
        <v>1355980.6300000004</v>
      </c>
      <c r="AZ57" s="104">
        <f t="shared" si="173"/>
        <v>2052287.3399999999</v>
      </c>
      <c r="BA57" s="104">
        <f t="shared" si="173"/>
        <v>2645426.9699999997</v>
      </c>
      <c r="BB57" s="104">
        <f t="shared" si="173"/>
        <v>2301302.69</v>
      </c>
      <c r="BC57" s="104">
        <f t="shared" ref="BC57:BH57" si="174">SUM(BC52:BC56)</f>
        <v>1396399.0699999998</v>
      </c>
      <c r="BD57" s="104">
        <f t="shared" si="174"/>
        <v>700123.51</v>
      </c>
      <c r="BE57" s="104">
        <f t="shared" si="174"/>
        <v>416618.77</v>
      </c>
      <c r="BF57" s="104">
        <f t="shared" si="174"/>
        <v>339900.55000000005</v>
      </c>
      <c r="BG57" s="104">
        <f t="shared" si="174"/>
        <v>244862.94000000003</v>
      </c>
      <c r="BH57" s="104">
        <f t="shared" si="174"/>
        <v>376492.90999999992</v>
      </c>
      <c r="BI57" s="168">
        <f t="shared" si="151"/>
        <v>244162.05</v>
      </c>
      <c r="BJ57" s="104">
        <f t="shared" si="152"/>
        <v>105568.37999999989</v>
      </c>
      <c r="BK57" s="105">
        <f t="shared" si="153"/>
        <v>344851.36000000045</v>
      </c>
      <c r="BL57" s="104">
        <f t="shared" si="154"/>
        <v>251558.55999999959</v>
      </c>
      <c r="BM57" s="104">
        <f t="shared" si="154"/>
        <v>1123801.4099999999</v>
      </c>
      <c r="BN57" s="104">
        <f t="shared" si="154"/>
        <v>90440.339999999851</v>
      </c>
      <c r="BO57" s="104">
        <f t="shared" si="154"/>
        <v>-606493.7200000002</v>
      </c>
      <c r="BP57" s="104">
        <f t="shared" si="155"/>
        <v>66117.489999999991</v>
      </c>
      <c r="BQ57" s="104">
        <f t="shared" si="156"/>
        <v>-105760.62</v>
      </c>
      <c r="BR57" s="104">
        <f t="shared" si="157"/>
        <v>-243512.22999999998</v>
      </c>
      <c r="BS57" s="104">
        <f t="shared" si="157"/>
        <v>-162824.17999999996</v>
      </c>
      <c r="BT57" s="106">
        <f t="shared" si="157"/>
        <v>-138410.15000000014</v>
      </c>
      <c r="BU57" s="105">
        <f t="shared" ref="BU57" si="175">SUM(BU52:BU56)</f>
        <v>286503.80000000005</v>
      </c>
      <c r="BV57" s="104">
        <f t="shared" ref="BV57:CF57" si="176">SUM(BV52:BV56)</f>
        <v>502484.68000000005</v>
      </c>
      <c r="BW57" s="104">
        <f t="shared" si="176"/>
        <v>896010.37000000011</v>
      </c>
      <c r="BX57" s="104">
        <f t="shared" si="176"/>
        <v>904317.70000000007</v>
      </c>
      <c r="BY57" s="104">
        <f t="shared" si="176"/>
        <v>990188.83000000007</v>
      </c>
      <c r="BZ57" s="104">
        <v>684271.23</v>
      </c>
      <c r="CA57" s="104">
        <f t="shared" si="176"/>
        <v>610892.19999999995</v>
      </c>
      <c r="CB57" s="104">
        <f t="shared" si="176"/>
        <v>470857.23000000004</v>
      </c>
      <c r="CC57" s="104">
        <f t="shared" si="176"/>
        <v>425385.92</v>
      </c>
      <c r="CD57" s="104">
        <f t="shared" si="176"/>
        <v>300868.82</v>
      </c>
      <c r="CE57" s="104">
        <f t="shared" si="176"/>
        <v>216296.68000000002</v>
      </c>
      <c r="CF57" s="106">
        <f t="shared" si="176"/>
        <v>0</v>
      </c>
      <c r="CG57" s="168">
        <f t="shared" si="158"/>
        <v>42341.750000000058</v>
      </c>
      <c r="CH57" s="104">
        <f t="shared" si="159"/>
        <v>396916.30000000016</v>
      </c>
      <c r="CI57" s="105">
        <f t="shared" si="160"/>
        <v>551159.00999999966</v>
      </c>
      <c r="CJ57" s="104">
        <f t="shared" si="161"/>
        <v>652759.14000000048</v>
      </c>
      <c r="CK57" s="104">
        <f t="shared" si="162"/>
        <v>-133612.57999999984</v>
      </c>
      <c r="CL57" s="104">
        <f t="shared" si="163"/>
        <v>593830.89000000013</v>
      </c>
      <c r="CM57" s="104">
        <f t="shared" si="164"/>
        <v>1217385.9200000002</v>
      </c>
      <c r="CN57" s="104">
        <f t="shared" si="165"/>
        <v>404739.74000000005</v>
      </c>
      <c r="CO57" s="104">
        <f t="shared" si="166"/>
        <v>531146.54</v>
      </c>
      <c r="CP57" s="104">
        <f t="shared" si="167"/>
        <v>544381.05000000005</v>
      </c>
      <c r="CQ57" s="104">
        <f t="shared" si="168"/>
        <v>379120.86</v>
      </c>
      <c r="CR57" s="106">
        <f t="shared" si="169"/>
        <v>138410.15000000014</v>
      </c>
    </row>
    <row r="58" spans="1:96" x14ac:dyDescent="0.25">
      <c r="A58" s="49">
        <f>+A51+1</f>
        <v>8</v>
      </c>
      <c r="B58" s="103" t="s">
        <v>29</v>
      </c>
      <c r="C58" s="138"/>
      <c r="D58" s="28"/>
      <c r="E58" s="28"/>
      <c r="F58" s="28"/>
      <c r="G58" s="28"/>
      <c r="H58" s="28"/>
      <c r="I58" s="28"/>
      <c r="J58" s="28"/>
      <c r="K58" s="28"/>
      <c r="L58" s="72"/>
      <c r="M58" s="138"/>
      <c r="N58" s="28"/>
      <c r="O58" s="28"/>
      <c r="P58" s="28"/>
      <c r="Q58" s="28"/>
      <c r="R58" s="28"/>
      <c r="S58" s="28"/>
      <c r="T58" s="28"/>
      <c r="U58" s="28"/>
      <c r="V58" s="28"/>
      <c r="W58" s="28"/>
      <c r="X58" s="72"/>
      <c r="Y58" s="28"/>
      <c r="Z58" s="28"/>
      <c r="AA58" s="28"/>
      <c r="AB58" s="28"/>
      <c r="AC58" s="28"/>
      <c r="AD58" s="126"/>
      <c r="AE58" s="126"/>
      <c r="AF58" s="126"/>
      <c r="AG58" s="126"/>
      <c r="AH58" s="126"/>
      <c r="AI58" s="126"/>
      <c r="AJ58" s="126"/>
      <c r="AK58" s="209"/>
      <c r="AL58" s="126"/>
      <c r="AM58" s="126"/>
      <c r="AN58" s="126"/>
      <c r="AO58" s="126"/>
      <c r="AP58" s="126"/>
      <c r="AQ58" s="126"/>
      <c r="AR58" s="126"/>
      <c r="AS58" s="126"/>
      <c r="AT58" s="126"/>
      <c r="AU58" s="126"/>
      <c r="AV58" s="126"/>
      <c r="AW58" s="168"/>
      <c r="AX58" s="104"/>
      <c r="AY58" s="104"/>
      <c r="AZ58" s="104"/>
      <c r="BA58" s="44"/>
      <c r="BB58" s="44"/>
      <c r="BC58" s="44"/>
      <c r="BD58" s="104"/>
      <c r="BE58" s="104"/>
      <c r="BF58" s="104"/>
      <c r="BG58" s="44"/>
      <c r="BH58" s="97"/>
      <c r="BI58" s="168"/>
      <c r="BJ58" s="104"/>
      <c r="BK58" s="104"/>
      <c r="BL58" s="104"/>
      <c r="BM58" s="104"/>
      <c r="BN58" s="104"/>
      <c r="BO58" s="104"/>
      <c r="BP58" s="104"/>
      <c r="BQ58" s="104"/>
      <c r="BR58" s="104"/>
      <c r="BS58" s="104"/>
      <c r="BT58" s="106"/>
      <c r="BU58" s="168"/>
      <c r="BV58" s="104"/>
      <c r="BW58" s="104"/>
      <c r="BX58" s="104"/>
      <c r="BY58" s="104"/>
      <c r="BZ58" s="44"/>
      <c r="CA58" s="44"/>
      <c r="CB58" s="104"/>
      <c r="CC58" s="104"/>
      <c r="CD58" s="104"/>
      <c r="CE58" s="44"/>
      <c r="CF58" s="97"/>
      <c r="CG58" s="168"/>
      <c r="CH58" s="104"/>
      <c r="CI58" s="104"/>
      <c r="CJ58" s="104"/>
      <c r="CK58" s="104"/>
      <c r="CL58" s="104"/>
      <c r="CM58" s="104"/>
      <c r="CN58" s="104"/>
      <c r="CO58" s="104"/>
      <c r="CP58" s="104"/>
      <c r="CQ58" s="104"/>
      <c r="CR58" s="106"/>
    </row>
    <row r="59" spans="1:96" x14ac:dyDescent="0.25">
      <c r="A59" s="49"/>
      <c r="B59" s="96" t="s">
        <v>34</v>
      </c>
      <c r="C59" s="138">
        <v>692742</v>
      </c>
      <c r="D59" s="28">
        <v>761355.51</v>
      </c>
      <c r="E59" s="28">
        <v>921170.16</v>
      </c>
      <c r="F59" s="28">
        <v>1091876.23</v>
      </c>
      <c r="G59" s="28">
        <v>1224051.96</v>
      </c>
      <c r="H59" s="28">
        <v>1079570.78</v>
      </c>
      <c r="I59" s="28">
        <v>880273.3</v>
      </c>
      <c r="J59" s="28">
        <v>745109.21</v>
      </c>
      <c r="K59" s="28">
        <v>687006.25</v>
      </c>
      <c r="L59" s="72">
        <v>660494.64</v>
      </c>
      <c r="M59" s="138">
        <v>594467.72</v>
      </c>
      <c r="N59" s="28">
        <v>625282.68000000005</v>
      </c>
      <c r="O59" s="28">
        <v>863217.86</v>
      </c>
      <c r="P59" s="28">
        <v>1315075.23</v>
      </c>
      <c r="Q59" s="28">
        <v>1829147.8</v>
      </c>
      <c r="R59" s="28">
        <v>2573409.9500000002</v>
      </c>
      <c r="S59" s="28">
        <v>2791178.75</v>
      </c>
      <c r="T59" s="28">
        <v>3010399.39</v>
      </c>
      <c r="U59" s="28">
        <v>2872721.99</v>
      </c>
      <c r="V59" s="28">
        <v>2697880.22</v>
      </c>
      <c r="W59" s="28">
        <f>2553291.3+910</f>
        <v>2554201.2999999998</v>
      </c>
      <c r="X59" s="72">
        <f>2449862.46+317</f>
        <v>2450179.46</v>
      </c>
      <c r="Y59" s="28">
        <f>2509027.76+38</f>
        <v>2509065.7599999998</v>
      </c>
      <c r="Z59" s="28">
        <v>2535710.2799999998</v>
      </c>
      <c r="AA59" s="28">
        <v>2906393.01</v>
      </c>
      <c r="AB59" s="28">
        <v>3540537.11</v>
      </c>
      <c r="AC59" s="107">
        <v>3881123.24</v>
      </c>
      <c r="AD59" s="108">
        <f>255.27+63901.05+3618273.38</f>
        <v>3682429.6999999997</v>
      </c>
      <c r="AE59" s="108">
        <v>4317937.46</v>
      </c>
      <c r="AF59" s="108">
        <v>4472218.0599999996</v>
      </c>
      <c r="AG59" s="108">
        <f>71839.32+4204612.25+517.15</f>
        <v>4276968.7200000007</v>
      </c>
      <c r="AH59" s="108">
        <v>4092360.91</v>
      </c>
      <c r="AI59" s="108">
        <f>70947.49+3845224.47+319.72</f>
        <v>3916491.6800000006</v>
      </c>
      <c r="AJ59" s="108">
        <f>70569.38+3803633.02+309.53</f>
        <v>3874511.9299999997</v>
      </c>
      <c r="AK59" s="211">
        <f>71962.44+3508928.3</f>
        <v>3580890.7399999998</v>
      </c>
      <c r="AL59" s="108">
        <f>73019.07+3347179.62</f>
        <v>3420198.69</v>
      </c>
      <c r="AM59" s="108">
        <f>74355.72+3247575.82</f>
        <v>3321931.54</v>
      </c>
      <c r="AN59" s="108">
        <f>80781.77+3633837.85</f>
        <v>3714619.62</v>
      </c>
      <c r="AO59" s="108">
        <f>129592.19+6990915.24+3092.02</f>
        <v>7123599.4500000002</v>
      </c>
      <c r="AP59" s="108">
        <f>153449.72+7962772.35</f>
        <v>8116222.0699999994</v>
      </c>
      <c r="AQ59" s="108">
        <f>153826.443+8161193.19+81.02</f>
        <v>8315100.6529999999</v>
      </c>
      <c r="AR59" s="108">
        <f>170828.9+9007933.65+65.59</f>
        <v>9178828.1400000006</v>
      </c>
      <c r="AS59" s="108">
        <f>116074.52+4569908.1+65.59</f>
        <v>4686048.209999999</v>
      </c>
      <c r="AT59" s="108">
        <f>114856.51+4309499.45+61.47</f>
        <v>4424417.43</v>
      </c>
      <c r="AU59" s="108">
        <f>114724.09+3945223.95+51.12</f>
        <v>4059999.16</v>
      </c>
      <c r="AV59" s="108">
        <f>113970.09+3876078.18+91.54</f>
        <v>3990139.81</v>
      </c>
      <c r="AW59" s="168">
        <f>111499.14+3521423.42</f>
        <v>3632922.56</v>
      </c>
      <c r="AX59" s="104">
        <f>113087.87+3787797.61</f>
        <v>3900885.48</v>
      </c>
      <c r="AY59" s="104">
        <f>109050.03+3748789.51</f>
        <v>3857839.5399999996</v>
      </c>
      <c r="AZ59" s="104">
        <f>SUM(111084.56+3884750.47+335.63)</f>
        <v>3996170.66</v>
      </c>
      <c r="BA59" s="104">
        <v>6767709.79</v>
      </c>
      <c r="BB59" s="104">
        <f>SUM(19819+1144940.69+180.71+14668.11+746356.96+114.92+48076.21+1519406.41+110418.32+5664289.73)</f>
        <v>9268271.0600000005</v>
      </c>
      <c r="BC59" s="195">
        <f>93227.01+3847407.19</f>
        <v>3940634.1999999997</v>
      </c>
      <c r="BD59" s="104">
        <f>(188551.19+10297063.14)</f>
        <v>10485614.33</v>
      </c>
      <c r="BE59" s="104">
        <f>79992.58+3551820.98</f>
        <v>3631813.56</v>
      </c>
      <c r="BF59" s="104">
        <f>73085.97+3331416.54+41.04</f>
        <v>3404543.5500000003</v>
      </c>
      <c r="BG59" s="195">
        <f>65344.02+2936263.92</f>
        <v>3001607.94</v>
      </c>
      <c r="BH59" s="195">
        <v>2903357.38</v>
      </c>
      <c r="BI59" s="168">
        <f t="shared" ref="BI59:BI64" si="177">AW59-AK59</f>
        <v>52031.820000000298</v>
      </c>
      <c r="BJ59" s="104">
        <f t="shared" ref="BJ59:BJ64" si="178">AX59-AL59</f>
        <v>480686.79000000004</v>
      </c>
      <c r="BK59" s="104">
        <f t="shared" ref="BK59:BK64" si="179">AY59-AM59</f>
        <v>535907.99999999953</v>
      </c>
      <c r="BL59" s="104">
        <f t="shared" ref="BL59:BO64" si="180">AZ59-AN59</f>
        <v>281551.04000000004</v>
      </c>
      <c r="BM59" s="104">
        <f t="shared" si="180"/>
        <v>-355889.66000000015</v>
      </c>
      <c r="BN59" s="104">
        <f t="shared" si="180"/>
        <v>1152048.9900000012</v>
      </c>
      <c r="BO59" s="104">
        <f t="shared" si="180"/>
        <v>-4374466.4529999997</v>
      </c>
      <c r="BP59" s="104">
        <f t="shared" ref="BP59:BP64" si="181">BD59-AR59</f>
        <v>1306786.1899999995</v>
      </c>
      <c r="BQ59" s="104">
        <f t="shared" ref="BQ59:BQ64" si="182">BE59-AS59</f>
        <v>-1054234.649999999</v>
      </c>
      <c r="BR59" s="104">
        <f t="shared" ref="BR59:BT64" si="183">BF59-AT59</f>
        <v>-1019873.8799999994</v>
      </c>
      <c r="BS59" s="104">
        <f t="shared" si="183"/>
        <v>-1058391.2200000002</v>
      </c>
      <c r="BT59" s="106">
        <f t="shared" si="183"/>
        <v>-1086782.4300000002</v>
      </c>
      <c r="BU59" s="168">
        <f>62264.48+2743651.01</f>
        <v>2805915.4899999998</v>
      </c>
      <c r="BV59" s="104">
        <v>2668273.6800000002</v>
      </c>
      <c r="BW59" s="104">
        <v>2572589.9500000002</v>
      </c>
      <c r="BX59" s="104">
        <v>2164636.91</v>
      </c>
      <c r="BY59" s="104">
        <f>45815.07+1859767.81</f>
        <v>1905582.8800000001</v>
      </c>
      <c r="BZ59" s="104">
        <v>2240775.91</v>
      </c>
      <c r="CA59" s="195">
        <v>2335247.29</v>
      </c>
      <c r="CB59" s="104">
        <v>2147572.92</v>
      </c>
      <c r="CC59" s="104">
        <v>2127366.1800000002</v>
      </c>
      <c r="CD59" s="104">
        <v>1966785.46</v>
      </c>
      <c r="CE59" s="195">
        <v>1741723.8199999998</v>
      </c>
      <c r="CF59" s="214"/>
      <c r="CG59" s="168">
        <f t="shared" ref="CG59:CG64" si="184">BU59-BI59</f>
        <v>2753883.6699999995</v>
      </c>
      <c r="CH59" s="104">
        <f t="shared" ref="CH59:CH64" si="185">BV59-BJ59</f>
        <v>2187586.89</v>
      </c>
      <c r="CI59" s="104">
        <f t="shared" ref="CI59:CI64" si="186">BW59-BK59</f>
        <v>2036681.9500000007</v>
      </c>
      <c r="CJ59" s="104">
        <f t="shared" ref="CJ59:CJ64" si="187">BX59-BL59</f>
        <v>1883085.87</v>
      </c>
      <c r="CK59" s="104">
        <f t="shared" ref="CK59:CK64" si="188">BY59-BM59</f>
        <v>2261472.54</v>
      </c>
      <c r="CL59" s="104">
        <f t="shared" ref="CL59:CL64" si="189">BZ59-BN59</f>
        <v>1088726.919999999</v>
      </c>
      <c r="CM59" s="104">
        <f t="shared" ref="CM59:CM64" si="190">CA59-BO59</f>
        <v>6709713.7429999998</v>
      </c>
      <c r="CN59" s="104">
        <f t="shared" ref="CN59:CN64" si="191">CB59-BP59</f>
        <v>840786.73000000045</v>
      </c>
      <c r="CO59" s="104">
        <f t="shared" ref="CO59:CO64" si="192">CC59-BQ59</f>
        <v>3181600.8299999991</v>
      </c>
      <c r="CP59" s="104">
        <f t="shared" ref="CP59:CP64" si="193">CD59-BR59</f>
        <v>2986659.3399999994</v>
      </c>
      <c r="CQ59" s="104">
        <f t="shared" ref="CQ59:CQ64" si="194">CE59-BS59</f>
        <v>2800115.04</v>
      </c>
      <c r="CR59" s="106">
        <f t="shared" ref="CR59:CR64" si="195">CF59-BT59</f>
        <v>1086782.4300000002</v>
      </c>
    </row>
    <row r="60" spans="1:96" x14ac:dyDescent="0.25">
      <c r="A60" s="49"/>
      <c r="B60" s="96" t="s">
        <v>35</v>
      </c>
      <c r="C60" s="138">
        <v>594995.82999999996</v>
      </c>
      <c r="D60" s="28">
        <v>606294.09</v>
      </c>
      <c r="E60" s="28">
        <v>534087.82999999996</v>
      </c>
      <c r="F60" s="28">
        <v>596637.91</v>
      </c>
      <c r="G60" s="28">
        <v>676457.43</v>
      </c>
      <c r="H60" s="28">
        <v>650001.76</v>
      </c>
      <c r="I60" s="28">
        <v>617001.74</v>
      </c>
      <c r="J60" s="28">
        <v>578274.38</v>
      </c>
      <c r="K60" s="28">
        <v>597781.9</v>
      </c>
      <c r="L60" s="72">
        <v>592014.32999999996</v>
      </c>
      <c r="M60" s="138">
        <v>537463.1</v>
      </c>
      <c r="N60" s="28">
        <v>626707.49</v>
      </c>
      <c r="O60" s="28">
        <v>771807.74</v>
      </c>
      <c r="P60" s="28">
        <v>995564.77</v>
      </c>
      <c r="Q60" s="28">
        <v>1099377.82</v>
      </c>
      <c r="R60" s="28">
        <v>390535.24</v>
      </c>
      <c r="S60" s="28">
        <v>245299.22</v>
      </c>
      <c r="T60" s="28">
        <v>332350.06</v>
      </c>
      <c r="U60" s="28">
        <v>474910.78</v>
      </c>
      <c r="V60" s="28">
        <v>431373.76</v>
      </c>
      <c r="W60" s="28">
        <v>669625.74</v>
      </c>
      <c r="X60" s="72">
        <v>878237</v>
      </c>
      <c r="Y60" s="28">
        <v>1014364.72</v>
      </c>
      <c r="Z60" s="28">
        <v>1136633.51</v>
      </c>
      <c r="AA60" s="28">
        <v>1355122.52</v>
      </c>
      <c r="AB60" s="28">
        <v>1767526.73</v>
      </c>
      <c r="AC60" s="70">
        <v>1140935.3500000001</v>
      </c>
      <c r="AD60" s="126">
        <f>14982.96+1922739.94</f>
        <v>1937722.9</v>
      </c>
      <c r="AE60" s="126">
        <v>1978695.8</v>
      </c>
      <c r="AF60" s="126">
        <v>2086637.66</v>
      </c>
      <c r="AG60" s="126">
        <v>2280151.59</v>
      </c>
      <c r="AH60" s="126">
        <v>1885262.8</v>
      </c>
      <c r="AI60" s="126">
        <f>9905.96+1629547.56</f>
        <v>1639453.52</v>
      </c>
      <c r="AJ60" s="126">
        <f>10038.23+1614996.6</f>
        <v>1625034.83</v>
      </c>
      <c r="AK60" s="209">
        <f>11275.49+1584824.73</f>
        <v>1596100.22</v>
      </c>
      <c r="AL60" s="126">
        <f>11683.31+1535928.73</f>
        <v>1547612.04</v>
      </c>
      <c r="AM60" s="126">
        <f>12438.66+1534999.83</f>
        <v>1547438.49</v>
      </c>
      <c r="AN60" s="126">
        <f>14072.64+1482803.7</f>
        <v>1496876.3399999999</v>
      </c>
      <c r="AO60" s="126">
        <f>15658.58+1846829.54+12.05</f>
        <v>1862500.1700000002</v>
      </c>
      <c r="AP60" s="126">
        <f>21207.99+2334082.67</f>
        <v>2355290.66</v>
      </c>
      <c r="AQ60" s="126">
        <f>21765.22+2375154.21+12.05</f>
        <v>2396931.48</v>
      </c>
      <c r="AR60" s="126">
        <f>26309.92+2690549.1+12.05</f>
        <v>2716871.07</v>
      </c>
      <c r="AS60" s="126">
        <f>22263.13+2245204.16</f>
        <v>2267467.29</v>
      </c>
      <c r="AT60" s="126">
        <f>24323.07+2116307.77</f>
        <v>2140630.84</v>
      </c>
      <c r="AU60" s="126">
        <f>19318.95+1787518.99</f>
        <v>1806837.94</v>
      </c>
      <c r="AV60" s="126">
        <f>20052.58+1823847.28</f>
        <v>1843899.86</v>
      </c>
      <c r="AW60" s="168">
        <f>29052.34+2107896.32</f>
        <v>2136948.6599999997</v>
      </c>
      <c r="AX60" s="104">
        <f>26097.66+1739040.2</f>
        <v>1765137.8599999999</v>
      </c>
      <c r="AY60" s="104">
        <f>28183.73+1744044.02</f>
        <v>1772227.75</v>
      </c>
      <c r="AZ60" s="104">
        <f>SUM(35229.34+2181592.32)</f>
        <v>2216821.6599999997</v>
      </c>
      <c r="BA60" s="104">
        <f>37425.9+2495252.74</f>
        <v>2532678.64</v>
      </c>
      <c r="BB60" s="104">
        <f>SUM(4933.44+489485.62+4179.97+346839.04+16903.19+792838.88+35775.98+2158758.63+1000.13)</f>
        <v>3850714.88</v>
      </c>
      <c r="BC60" s="195">
        <f>38719.21+2815752.64</f>
        <v>2854471.85</v>
      </c>
      <c r="BD60" s="104">
        <f>(66613.22+4526438.17)</f>
        <v>4593051.3899999997</v>
      </c>
      <c r="BE60" s="104">
        <f>37778.64+2752488.72</f>
        <v>2790267.3600000003</v>
      </c>
      <c r="BF60" s="104">
        <f>37866.45+2549269.41</f>
        <v>2587135.8600000003</v>
      </c>
      <c r="BG60" s="195">
        <f>38672.61+2509615.87</f>
        <v>2548288.48</v>
      </c>
      <c r="BH60" s="195">
        <v>2428836.7699999996</v>
      </c>
      <c r="BI60" s="168">
        <f t="shared" si="177"/>
        <v>540848.43999999971</v>
      </c>
      <c r="BJ60" s="104">
        <f t="shared" si="178"/>
        <v>217525.81999999983</v>
      </c>
      <c r="BK60" s="104">
        <f t="shared" si="179"/>
        <v>224789.26</v>
      </c>
      <c r="BL60" s="104">
        <f t="shared" si="180"/>
        <v>719945.31999999983</v>
      </c>
      <c r="BM60" s="104">
        <f t="shared" si="180"/>
        <v>670178.47</v>
      </c>
      <c r="BN60" s="104">
        <f t="shared" si="180"/>
        <v>1495424.2199999997</v>
      </c>
      <c r="BO60" s="104">
        <f t="shared" si="180"/>
        <v>457540.37000000011</v>
      </c>
      <c r="BP60" s="104">
        <f t="shared" si="181"/>
        <v>1876180.3199999998</v>
      </c>
      <c r="BQ60" s="104">
        <f t="shared" si="182"/>
        <v>522800.0700000003</v>
      </c>
      <c r="BR60" s="104">
        <f t="shared" si="183"/>
        <v>446505.02000000048</v>
      </c>
      <c r="BS60" s="104">
        <f t="shared" si="183"/>
        <v>741450.54</v>
      </c>
      <c r="BT60" s="106">
        <f t="shared" si="183"/>
        <v>584936.90999999945</v>
      </c>
      <c r="BU60" s="168">
        <f>40699.53+2370990.45</f>
        <v>2411689.98</v>
      </c>
      <c r="BV60" s="104">
        <v>2349709.4300000002</v>
      </c>
      <c r="BW60" s="104">
        <v>2443782.5299999998</v>
      </c>
      <c r="BX60" s="104">
        <v>2700301.96</v>
      </c>
      <c r="BY60" s="104">
        <f>37306.08+2536138.83</f>
        <v>2573444.91</v>
      </c>
      <c r="BZ60" s="104">
        <v>1977947.72</v>
      </c>
      <c r="CA60" s="195">
        <v>1592169.9300000002</v>
      </c>
      <c r="CB60" s="104">
        <v>1433660.17</v>
      </c>
      <c r="CC60" s="104">
        <v>1422679.15</v>
      </c>
      <c r="CD60" s="104">
        <v>1315088.23</v>
      </c>
      <c r="CE60" s="195">
        <v>1193050.71</v>
      </c>
      <c r="CF60" s="214"/>
      <c r="CG60" s="168">
        <f t="shared" si="184"/>
        <v>1870841.5400000003</v>
      </c>
      <c r="CH60" s="104">
        <f t="shared" si="185"/>
        <v>2132183.6100000003</v>
      </c>
      <c r="CI60" s="104">
        <f t="shared" si="186"/>
        <v>2218993.2699999996</v>
      </c>
      <c r="CJ60" s="104">
        <f t="shared" si="187"/>
        <v>1980356.6400000001</v>
      </c>
      <c r="CK60" s="104">
        <f t="shared" si="188"/>
        <v>1903266.4400000002</v>
      </c>
      <c r="CL60" s="104">
        <f t="shared" si="189"/>
        <v>482523.50000000023</v>
      </c>
      <c r="CM60" s="104">
        <f t="shared" si="190"/>
        <v>1134629.56</v>
      </c>
      <c r="CN60" s="104">
        <f t="shared" si="191"/>
        <v>-442520.14999999991</v>
      </c>
      <c r="CO60" s="104">
        <f t="shared" si="192"/>
        <v>899879.07999999961</v>
      </c>
      <c r="CP60" s="104">
        <f t="shared" si="193"/>
        <v>868583.2099999995</v>
      </c>
      <c r="CQ60" s="104">
        <f t="shared" si="194"/>
        <v>451600.16999999993</v>
      </c>
      <c r="CR60" s="106">
        <f t="shared" si="195"/>
        <v>-584936.90999999945</v>
      </c>
    </row>
    <row r="61" spans="1:96" x14ac:dyDescent="0.25">
      <c r="A61" s="49"/>
      <c r="B61" s="96" t="s">
        <v>36</v>
      </c>
      <c r="C61" s="138">
        <v>18671.939999999999</v>
      </c>
      <c r="D61" s="28">
        <v>23528.560000000001</v>
      </c>
      <c r="E61" s="28">
        <v>47485.83</v>
      </c>
      <c r="F61" s="28">
        <v>50287.82</v>
      </c>
      <c r="G61" s="28">
        <v>53176.01</v>
      </c>
      <c r="H61" s="28">
        <v>42734.400000000001</v>
      </c>
      <c r="I61" s="28">
        <v>35577.599999999999</v>
      </c>
      <c r="J61" s="28">
        <v>28656.83</v>
      </c>
      <c r="K61" s="28">
        <v>25016.720000000001</v>
      </c>
      <c r="L61" s="72">
        <v>17608.330000000002</v>
      </c>
      <c r="M61" s="138">
        <v>16247.36</v>
      </c>
      <c r="N61" s="28">
        <v>17230.52</v>
      </c>
      <c r="O61" s="28">
        <v>23840.560000000001</v>
      </c>
      <c r="P61" s="28">
        <v>50575.73</v>
      </c>
      <c r="Q61" s="28">
        <v>83775.23</v>
      </c>
      <c r="R61" s="28">
        <v>108921.66</v>
      </c>
      <c r="S61" s="28">
        <v>128317.57</v>
      </c>
      <c r="T61" s="28">
        <v>120448.86</v>
      </c>
      <c r="U61" s="28">
        <v>74143.47</v>
      </c>
      <c r="V61" s="28">
        <v>42034.31</v>
      </c>
      <c r="W61" s="28">
        <v>42982.51</v>
      </c>
      <c r="X61" s="72">
        <v>43547.519999999997</v>
      </c>
      <c r="Y61" s="28">
        <v>43378.62</v>
      </c>
      <c r="Z61" s="28">
        <v>44001.2</v>
      </c>
      <c r="AA61" s="28">
        <v>60860.3</v>
      </c>
      <c r="AB61" s="28">
        <v>86844.89</v>
      </c>
      <c r="AC61" s="70">
        <v>78048.28</v>
      </c>
      <c r="AD61" s="126">
        <f>85583.48+16108.96+97.25</f>
        <v>101789.69</v>
      </c>
      <c r="AE61" s="126">
        <v>149112.37</v>
      </c>
      <c r="AF61" s="126">
        <v>164093.46</v>
      </c>
      <c r="AG61" s="126">
        <v>188368.94</v>
      </c>
      <c r="AH61" s="126">
        <v>166112.97</v>
      </c>
      <c r="AI61" s="126">
        <f>132975.03+22007.89+26.2</f>
        <v>155009.12</v>
      </c>
      <c r="AJ61" s="126">
        <v>150320.38</v>
      </c>
      <c r="AK61" s="209">
        <v>122534.27</v>
      </c>
      <c r="AL61" s="126">
        <v>114564.22</v>
      </c>
      <c r="AM61" s="126">
        <v>120761.92</v>
      </c>
      <c r="AN61" s="126">
        <f>107353.14+24130.65+102.84</f>
        <v>131586.63</v>
      </c>
      <c r="AO61" s="126">
        <f>30907.1+1489.4+(-11968.09)+(-903.42)</f>
        <v>19524.990000000002</v>
      </c>
      <c r="AP61" s="126">
        <f>306226.41+45337.84+810.37+411.16</f>
        <v>352785.77999999997</v>
      </c>
      <c r="AQ61" s="126">
        <f>382881.58+45974.24+0+411.16</f>
        <v>429266.98</v>
      </c>
      <c r="AR61" s="126">
        <f>393636.25+53917.4+327.85</f>
        <v>447881.5</v>
      </c>
      <c r="AS61" s="126">
        <f>271591.87+34707.27+327385</f>
        <v>633684.14</v>
      </c>
      <c r="AT61" s="126">
        <f>238670.91+35603.16+76.64+60.87</f>
        <v>274411.58</v>
      </c>
      <c r="AU61" s="126">
        <f>214459.43+34346.58+131.9+199.54</f>
        <v>249137.45</v>
      </c>
      <c r="AV61" s="126">
        <f>219564.52+36994.24+171.55+289.5</f>
        <v>257019.80999999997</v>
      </c>
      <c r="AW61" s="168">
        <f>210288.07+41038.98+217.65+613.72</f>
        <v>252158.42</v>
      </c>
      <c r="AX61" s="104">
        <f>218278.97+44076.54+894.25</f>
        <v>263249.76</v>
      </c>
      <c r="AY61" s="104">
        <f>190842.3+41722.74+1033.24+7.14</f>
        <v>233605.41999999998</v>
      </c>
      <c r="AZ61" s="104">
        <f>SUM(185656.8+466666.65+1033.24+41.82)</f>
        <v>653398.50999999989</v>
      </c>
      <c r="BA61" s="104">
        <v>226541.23</v>
      </c>
      <c r="BB61" s="104">
        <f>SUM(43157.15+24565.06+60817.49+245105.87+6440.16+6752.34+20274.14+38076.81+51.53+6.62+828.7+3332.96)</f>
        <v>449408.83000000007</v>
      </c>
      <c r="BC61" s="195">
        <f>149673.32+35564.83+163.29</f>
        <v>185401.44000000003</v>
      </c>
      <c r="BD61" s="104">
        <f>(459414.83+72675.05+4227.77)</f>
        <v>536317.65</v>
      </c>
      <c r="BE61" s="104">
        <f>110149.27+36953.85+96</f>
        <v>147199.12</v>
      </c>
      <c r="BF61" s="104">
        <f>83319.78+18848.4+126.45</f>
        <v>102294.62999999999</v>
      </c>
      <c r="BG61" s="195">
        <f>79249.59+17402.18</f>
        <v>96651.76999999999</v>
      </c>
      <c r="BH61" s="195">
        <v>101619.22</v>
      </c>
      <c r="BI61" s="168">
        <f t="shared" si="177"/>
        <v>129624.15000000001</v>
      </c>
      <c r="BJ61" s="104">
        <f t="shared" si="178"/>
        <v>148685.54</v>
      </c>
      <c r="BK61" s="104">
        <f t="shared" si="179"/>
        <v>112843.49999999999</v>
      </c>
      <c r="BL61" s="104">
        <f t="shared" si="180"/>
        <v>521811.87999999989</v>
      </c>
      <c r="BM61" s="104">
        <f t="shared" si="180"/>
        <v>207016.24000000002</v>
      </c>
      <c r="BN61" s="104">
        <f t="shared" si="180"/>
        <v>96623.050000000105</v>
      </c>
      <c r="BO61" s="104">
        <f t="shared" si="180"/>
        <v>-243865.53999999995</v>
      </c>
      <c r="BP61" s="104">
        <f t="shared" si="181"/>
        <v>88436.150000000023</v>
      </c>
      <c r="BQ61" s="104">
        <f t="shared" si="182"/>
        <v>-486485.02</v>
      </c>
      <c r="BR61" s="104">
        <f t="shared" si="183"/>
        <v>-172116.95</v>
      </c>
      <c r="BS61" s="104">
        <f t="shared" si="183"/>
        <v>-152485.68000000002</v>
      </c>
      <c r="BT61" s="106">
        <f t="shared" si="183"/>
        <v>-155400.58999999997</v>
      </c>
      <c r="BU61" s="168">
        <f>65599.65+7535.49+1303.41</f>
        <v>74438.55</v>
      </c>
      <c r="BV61" s="104">
        <v>70464.06</v>
      </c>
      <c r="BW61" s="104">
        <v>59749.41</v>
      </c>
      <c r="BX61" s="104">
        <v>69657.41</v>
      </c>
      <c r="BY61" s="104">
        <f>61254.58+3313.41</f>
        <v>64567.990000000005</v>
      </c>
      <c r="BZ61" s="104">
        <v>69869.120000000024</v>
      </c>
      <c r="CA61" s="195">
        <v>67384.12</v>
      </c>
      <c r="CB61" s="104">
        <v>48713.98</v>
      </c>
      <c r="CC61" s="104">
        <v>48713.98</v>
      </c>
      <c r="CD61" s="104">
        <v>51288.160000000003</v>
      </c>
      <c r="CE61" s="195">
        <v>35513.31</v>
      </c>
      <c r="CF61" s="214"/>
      <c r="CG61" s="168">
        <f t="shared" si="184"/>
        <v>-55185.600000000006</v>
      </c>
      <c r="CH61" s="104">
        <f t="shared" si="185"/>
        <v>-78221.48000000001</v>
      </c>
      <c r="CI61" s="104">
        <f t="shared" si="186"/>
        <v>-53094.089999999982</v>
      </c>
      <c r="CJ61" s="104">
        <f t="shared" si="187"/>
        <v>-452154.46999999986</v>
      </c>
      <c r="CK61" s="104">
        <f t="shared" si="188"/>
        <v>-142448.25</v>
      </c>
      <c r="CL61" s="104">
        <f t="shared" si="189"/>
        <v>-26753.93000000008</v>
      </c>
      <c r="CM61" s="104">
        <f t="shared" si="190"/>
        <v>311249.65999999992</v>
      </c>
      <c r="CN61" s="104">
        <f t="shared" si="191"/>
        <v>-39722.17000000002</v>
      </c>
      <c r="CO61" s="104">
        <f t="shared" si="192"/>
        <v>535199</v>
      </c>
      <c r="CP61" s="104">
        <f t="shared" si="193"/>
        <v>223405.11000000002</v>
      </c>
      <c r="CQ61" s="104">
        <f t="shared" si="194"/>
        <v>187998.99000000002</v>
      </c>
      <c r="CR61" s="106">
        <f t="shared" si="195"/>
        <v>155400.58999999997</v>
      </c>
    </row>
    <row r="62" spans="1:96" x14ac:dyDescent="0.25">
      <c r="A62" s="49"/>
      <c r="B62" s="96" t="s">
        <v>37</v>
      </c>
      <c r="C62" s="138">
        <v>6436.51</v>
      </c>
      <c r="D62" s="28">
        <v>2351.38</v>
      </c>
      <c r="E62" s="28">
        <v>30735.759999999998</v>
      </c>
      <c r="F62" s="28">
        <v>43293.83</v>
      </c>
      <c r="G62" s="28">
        <v>29072.52</v>
      </c>
      <c r="H62" s="28">
        <v>26548.560000000001</v>
      </c>
      <c r="I62" s="28">
        <v>22905.73</v>
      </c>
      <c r="J62" s="28">
        <v>20243.080000000002</v>
      </c>
      <c r="K62" s="28">
        <v>14202.77</v>
      </c>
      <c r="L62" s="72">
        <v>11601.94</v>
      </c>
      <c r="M62" s="138">
        <v>4112.78</v>
      </c>
      <c r="N62" s="28">
        <v>7812.56</v>
      </c>
      <c r="O62" s="28">
        <v>18959.310000000001</v>
      </c>
      <c r="P62" s="28">
        <v>53415.67</v>
      </c>
      <c r="Q62" s="28">
        <v>115737.54</v>
      </c>
      <c r="R62" s="28">
        <v>198284.34</v>
      </c>
      <c r="S62" s="28">
        <v>231699.51</v>
      </c>
      <c r="T62" s="28">
        <v>239389.4</v>
      </c>
      <c r="U62" s="28">
        <v>136698.09</v>
      </c>
      <c r="V62" s="28">
        <v>128130.21</v>
      </c>
      <c r="W62" s="28">
        <v>132673</v>
      </c>
      <c r="X62" s="72">
        <v>113569.51</v>
      </c>
      <c r="Y62" s="28">
        <v>86869.56</v>
      </c>
      <c r="Z62" s="28">
        <v>68948.39</v>
      </c>
      <c r="AA62" s="28">
        <v>70552.820000000007</v>
      </c>
      <c r="AB62" s="28">
        <v>88899.11</v>
      </c>
      <c r="AC62" s="70">
        <v>98340.12</v>
      </c>
      <c r="AD62" s="126">
        <f>73136.02+20759.16+21300.89</f>
        <v>115196.07</v>
      </c>
      <c r="AE62" s="126">
        <v>114304.82</v>
      </c>
      <c r="AF62" s="126">
        <v>135794.94</v>
      </c>
      <c r="AG62" s="126">
        <v>146764.82</v>
      </c>
      <c r="AH62" s="126">
        <v>132103.03</v>
      </c>
      <c r="AI62" s="126">
        <f>62755.09+25612.44+24563.49</f>
        <v>112931.02</v>
      </c>
      <c r="AJ62" s="126">
        <v>107025.60000000001</v>
      </c>
      <c r="AK62" s="209">
        <v>79289.94</v>
      </c>
      <c r="AL62" s="126">
        <v>68723.89</v>
      </c>
      <c r="AM62" s="126">
        <v>75712.13</v>
      </c>
      <c r="AN62" s="126">
        <f>40825.04+24942.74+7033.68</f>
        <v>72801.459999999992</v>
      </c>
      <c r="AO62" s="126">
        <f>(-38375.07)+14889.4+35627.27+10008.56</f>
        <v>22150.159999999996</v>
      </c>
      <c r="AP62" s="126">
        <f>121013.18+43686.04+4064.08+21080.99</f>
        <v>189844.28999999998</v>
      </c>
      <c r="AQ62" s="126">
        <f>117902.06+37350.7+2156.77+22763.22</f>
        <v>180172.75</v>
      </c>
      <c r="AR62" s="126">
        <f>200380.24+39684.43+5828.45+25383.78</f>
        <v>271276.90000000002</v>
      </c>
      <c r="AS62" s="126">
        <f>178271.27+31834.13+20561.55+23571.53</f>
        <v>254238.47999999998</v>
      </c>
      <c r="AT62" s="126">
        <f>167037.28+32254.84+25679.44+24111.87</f>
        <v>249083.43</v>
      </c>
      <c r="AU62" s="126">
        <f>148873.82+36685.55+25099.12+25435.92</f>
        <v>236094.40999999997</v>
      </c>
      <c r="AV62" s="126">
        <f>144162.11+44894.69+14475.94+25675.19</f>
        <v>229207.93</v>
      </c>
      <c r="AW62" s="168">
        <f>143921.56+42559.38+14328.29+24870.77</f>
        <v>225680</v>
      </c>
      <c r="AX62" s="104">
        <f>146611.81+45334.64+15471.78+28973.12</f>
        <v>236391.35</v>
      </c>
      <c r="AY62" s="104">
        <f>152680.14+38162.4+15903.1+33551.54</f>
        <v>240297.18000000002</v>
      </c>
      <c r="AZ62" s="104">
        <f>SUM(176379.67+43058.45+15595.79+30571.34)</f>
        <v>265605.25</v>
      </c>
      <c r="BA62" s="104">
        <v>260547.1</v>
      </c>
      <c r="BB62" s="104">
        <f>SUM(24766.5+13870.63+48150.01+105951.64+4784.37+3425.18+11471.89+18427.5+41.85+42.52+16419.26+367.18+2025.21+8836.93+16789.7)</f>
        <v>275370.36999999994</v>
      </c>
      <c r="BC62" s="195">
        <f>252976.9+39085.2+26376.97+26712.85</f>
        <v>345151.91999999993</v>
      </c>
      <c r="BD62" s="104">
        <f>(293706.93+60722.66+27426.4+27742.76)</f>
        <v>409598.75</v>
      </c>
      <c r="BE62" s="104">
        <f>292606.76+48255.05+14712.86+27028.24</f>
        <v>382602.91</v>
      </c>
      <c r="BF62" s="104">
        <f>285991.89+50236.01+13827.81</f>
        <v>350055.71</v>
      </c>
      <c r="BG62" s="195">
        <f>287289.83+47820.55+13561.46</f>
        <v>348671.84</v>
      </c>
      <c r="BH62" s="195">
        <v>346225.79000000004</v>
      </c>
      <c r="BI62" s="168">
        <f t="shared" si="177"/>
        <v>146390.06</v>
      </c>
      <c r="BJ62" s="104">
        <f t="shared" si="178"/>
        <v>167667.46000000002</v>
      </c>
      <c r="BK62" s="104">
        <f t="shared" si="179"/>
        <v>164585.05000000002</v>
      </c>
      <c r="BL62" s="104">
        <f t="shared" si="180"/>
        <v>192803.79</v>
      </c>
      <c r="BM62" s="104">
        <f t="shared" si="180"/>
        <v>238396.94</v>
      </c>
      <c r="BN62" s="104">
        <f t="shared" si="180"/>
        <v>85526.079999999958</v>
      </c>
      <c r="BO62" s="104">
        <f t="shared" si="180"/>
        <v>164979.16999999993</v>
      </c>
      <c r="BP62" s="104">
        <f t="shared" si="181"/>
        <v>138321.84999999998</v>
      </c>
      <c r="BQ62" s="104">
        <f t="shared" si="182"/>
        <v>128364.43</v>
      </c>
      <c r="BR62" s="104">
        <f t="shared" si="183"/>
        <v>100972.28000000003</v>
      </c>
      <c r="BS62" s="104">
        <f t="shared" si="183"/>
        <v>112577.43000000005</v>
      </c>
      <c r="BT62" s="106">
        <f t="shared" si="183"/>
        <v>117017.86000000004</v>
      </c>
      <c r="BU62" s="168">
        <f>287359.62+47473.14+18309.77+1674.37</f>
        <v>354816.9</v>
      </c>
      <c r="BV62" s="104">
        <v>330331.59000000003</v>
      </c>
      <c r="BW62" s="104">
        <v>327724.32</v>
      </c>
      <c r="BX62" s="104">
        <v>338117.38</v>
      </c>
      <c r="BY62" s="104">
        <f>319501.33+26540.44</f>
        <v>346041.77</v>
      </c>
      <c r="BZ62" s="104">
        <v>372234.19000000006</v>
      </c>
      <c r="CA62" s="195">
        <v>395825.28</v>
      </c>
      <c r="CB62" s="104">
        <v>411085.1</v>
      </c>
      <c r="CC62" s="104">
        <v>411085.10000000003</v>
      </c>
      <c r="CD62" s="104">
        <v>421925.19999999995</v>
      </c>
      <c r="CE62" s="195">
        <v>417953.95999999996</v>
      </c>
      <c r="CF62" s="214"/>
      <c r="CG62" s="168">
        <f t="shared" si="184"/>
        <v>208426.84000000003</v>
      </c>
      <c r="CH62" s="104">
        <f t="shared" si="185"/>
        <v>162664.13</v>
      </c>
      <c r="CI62" s="104">
        <f t="shared" si="186"/>
        <v>163139.26999999999</v>
      </c>
      <c r="CJ62" s="104">
        <f t="shared" si="187"/>
        <v>145313.59</v>
      </c>
      <c r="CK62" s="104">
        <f t="shared" si="188"/>
        <v>107644.83000000002</v>
      </c>
      <c r="CL62" s="104">
        <f t="shared" si="189"/>
        <v>286708.1100000001</v>
      </c>
      <c r="CM62" s="104">
        <f t="shared" si="190"/>
        <v>230846.1100000001</v>
      </c>
      <c r="CN62" s="104">
        <f t="shared" si="191"/>
        <v>272763.25</v>
      </c>
      <c r="CO62" s="104">
        <f t="shared" si="192"/>
        <v>282720.67000000004</v>
      </c>
      <c r="CP62" s="104">
        <f t="shared" si="193"/>
        <v>320952.91999999993</v>
      </c>
      <c r="CQ62" s="104">
        <f t="shared" si="194"/>
        <v>305376.52999999991</v>
      </c>
      <c r="CR62" s="106">
        <f t="shared" si="195"/>
        <v>-117017.86000000004</v>
      </c>
    </row>
    <row r="63" spans="1:96" x14ac:dyDescent="0.25">
      <c r="A63" s="49"/>
      <c r="B63" s="96" t="s">
        <v>38</v>
      </c>
      <c r="C63" s="138">
        <v>0</v>
      </c>
      <c r="D63" s="28">
        <v>0</v>
      </c>
      <c r="E63" s="28">
        <v>0</v>
      </c>
      <c r="F63" s="28">
        <v>0</v>
      </c>
      <c r="G63" s="28">
        <v>0</v>
      </c>
      <c r="H63" s="28">
        <v>0</v>
      </c>
      <c r="I63" s="28">
        <v>0</v>
      </c>
      <c r="J63" s="28">
        <v>0</v>
      </c>
      <c r="K63" s="28">
        <v>0</v>
      </c>
      <c r="L63" s="72">
        <v>44.71</v>
      </c>
      <c r="M63" s="138">
        <v>239.83</v>
      </c>
      <c r="N63" s="28">
        <v>242.02</v>
      </c>
      <c r="O63" s="28">
        <v>0</v>
      </c>
      <c r="P63" s="28">
        <v>0</v>
      </c>
      <c r="Q63" s="28">
        <v>0</v>
      </c>
      <c r="R63" s="28">
        <v>25423.25</v>
      </c>
      <c r="S63" s="28">
        <v>112115.38</v>
      </c>
      <c r="T63" s="28">
        <v>36715.9</v>
      </c>
      <c r="U63" s="28">
        <v>1972.37</v>
      </c>
      <c r="V63" s="28">
        <v>1252.43</v>
      </c>
      <c r="W63" s="28">
        <v>2568.9499999999998</v>
      </c>
      <c r="X63" s="72">
        <v>0</v>
      </c>
      <c r="Y63" s="28">
        <v>0</v>
      </c>
      <c r="Z63" s="28">
        <v>0</v>
      </c>
      <c r="AA63" s="28">
        <v>0</v>
      </c>
      <c r="AB63" s="28">
        <v>0</v>
      </c>
      <c r="AC63" s="70">
        <v>0</v>
      </c>
      <c r="AD63" s="126">
        <v>0</v>
      </c>
      <c r="AE63" s="126">
        <v>2933.47</v>
      </c>
      <c r="AF63" s="126">
        <v>13280.39</v>
      </c>
      <c r="AG63" s="126">
        <v>17825.37</v>
      </c>
      <c r="AH63" s="126">
        <v>3228.3</v>
      </c>
      <c r="AI63" s="126">
        <f>6408.82</f>
        <v>6408.82</v>
      </c>
      <c r="AJ63" s="126">
        <v>0</v>
      </c>
      <c r="AK63" s="209">
        <v>19552.46</v>
      </c>
      <c r="AL63" s="126">
        <v>12442.4</v>
      </c>
      <c r="AM63" s="126">
        <v>0</v>
      </c>
      <c r="AN63" s="126">
        <v>0</v>
      </c>
      <c r="AO63" s="126">
        <v>0</v>
      </c>
      <c r="AP63" s="126">
        <v>0</v>
      </c>
      <c r="AQ63" s="126">
        <v>0</v>
      </c>
      <c r="AR63" s="126">
        <v>0</v>
      </c>
      <c r="AS63" s="126">
        <v>0</v>
      </c>
      <c r="AT63" s="126">
        <v>0</v>
      </c>
      <c r="AU63" s="126">
        <v>0</v>
      </c>
      <c r="AV63" s="126">
        <v>0</v>
      </c>
      <c r="AW63" s="168">
        <v>0</v>
      </c>
      <c r="AX63" s="104">
        <v>0</v>
      </c>
      <c r="AY63" s="127">
        <v>0</v>
      </c>
      <c r="AZ63" s="104">
        <f>SUM(12939.32+0)</f>
        <v>12939.32</v>
      </c>
      <c r="BA63" s="104">
        <v>51764.02</v>
      </c>
      <c r="BB63" s="104">
        <f>SUM(38824.7+12939.32)</f>
        <v>51764.02</v>
      </c>
      <c r="BC63" s="195">
        <v>0</v>
      </c>
      <c r="BD63" s="104"/>
      <c r="BE63" s="104">
        <v>0</v>
      </c>
      <c r="BF63" s="104">
        <v>0</v>
      </c>
      <c r="BG63" s="104">
        <v>0</v>
      </c>
      <c r="BH63" s="195">
        <v>0</v>
      </c>
      <c r="BI63" s="168">
        <f t="shared" si="177"/>
        <v>-19552.46</v>
      </c>
      <c r="BJ63" s="104">
        <f t="shared" si="178"/>
        <v>-12442.4</v>
      </c>
      <c r="BK63" s="104">
        <f t="shared" si="179"/>
        <v>0</v>
      </c>
      <c r="BL63" s="104">
        <f t="shared" si="180"/>
        <v>12939.32</v>
      </c>
      <c r="BM63" s="104">
        <f t="shared" si="180"/>
        <v>51764.02</v>
      </c>
      <c r="BN63" s="104">
        <f t="shared" si="180"/>
        <v>51764.02</v>
      </c>
      <c r="BO63" s="104">
        <f t="shared" si="180"/>
        <v>0</v>
      </c>
      <c r="BP63" s="104">
        <f t="shared" si="181"/>
        <v>0</v>
      </c>
      <c r="BQ63" s="104">
        <f t="shared" si="182"/>
        <v>0</v>
      </c>
      <c r="BR63" s="104">
        <f t="shared" si="183"/>
        <v>0</v>
      </c>
      <c r="BS63" s="104">
        <f t="shared" si="183"/>
        <v>0</v>
      </c>
      <c r="BT63" s="106">
        <f t="shared" si="183"/>
        <v>0</v>
      </c>
      <c r="BU63" s="168">
        <v>50233.16</v>
      </c>
      <c r="BV63" s="104">
        <v>47609.55</v>
      </c>
      <c r="BW63" s="104">
        <v>38009.550000000003</v>
      </c>
      <c r="BX63" s="104">
        <v>0</v>
      </c>
      <c r="BY63" s="104">
        <v>0</v>
      </c>
      <c r="BZ63" s="104">
        <v>0</v>
      </c>
      <c r="CA63" s="195">
        <v>0</v>
      </c>
      <c r="CB63" s="104">
        <v>0</v>
      </c>
      <c r="CC63" s="104">
        <v>0</v>
      </c>
      <c r="CD63" s="104">
        <v>0</v>
      </c>
      <c r="CE63" s="104">
        <v>0</v>
      </c>
      <c r="CF63" s="214"/>
      <c r="CG63" s="168">
        <f t="shared" si="184"/>
        <v>69785.62</v>
      </c>
      <c r="CH63" s="104">
        <f t="shared" si="185"/>
        <v>60051.950000000004</v>
      </c>
      <c r="CI63" s="104">
        <f t="shared" si="186"/>
        <v>38009.550000000003</v>
      </c>
      <c r="CJ63" s="104">
        <f t="shared" si="187"/>
        <v>-12939.32</v>
      </c>
      <c r="CK63" s="104">
        <f t="shared" si="188"/>
        <v>-51764.02</v>
      </c>
      <c r="CL63" s="104">
        <f t="shared" si="189"/>
        <v>-51764.02</v>
      </c>
      <c r="CM63" s="104">
        <f t="shared" si="190"/>
        <v>0</v>
      </c>
      <c r="CN63" s="104">
        <f t="shared" si="191"/>
        <v>0</v>
      </c>
      <c r="CO63" s="104">
        <f t="shared" si="192"/>
        <v>0</v>
      </c>
      <c r="CP63" s="104">
        <f t="shared" si="193"/>
        <v>0</v>
      </c>
      <c r="CQ63" s="104">
        <f t="shared" si="194"/>
        <v>0</v>
      </c>
      <c r="CR63" s="106">
        <f t="shared" si="195"/>
        <v>0</v>
      </c>
    </row>
    <row r="64" spans="1:96" x14ac:dyDescent="0.25">
      <c r="A64" s="49"/>
      <c r="B64" s="96" t="s">
        <v>39</v>
      </c>
      <c r="C64" s="138">
        <f t="shared" ref="C64:AC64" si="196">SUM(C59:C63)</f>
        <v>1312846.28</v>
      </c>
      <c r="D64" s="28">
        <f t="shared" si="196"/>
        <v>1393529.54</v>
      </c>
      <c r="E64" s="28">
        <f t="shared" si="196"/>
        <v>1533479.58</v>
      </c>
      <c r="F64" s="28">
        <f t="shared" si="196"/>
        <v>1782095.7900000003</v>
      </c>
      <c r="G64" s="28">
        <f t="shared" si="196"/>
        <v>1982757.9200000002</v>
      </c>
      <c r="H64" s="28">
        <f t="shared" si="196"/>
        <v>1798855.5</v>
      </c>
      <c r="I64" s="28">
        <f t="shared" si="196"/>
        <v>1555758.37</v>
      </c>
      <c r="J64" s="28">
        <f t="shared" si="196"/>
        <v>1372283.5</v>
      </c>
      <c r="K64" s="28">
        <f t="shared" si="196"/>
        <v>1324007.6399999999</v>
      </c>
      <c r="L64" s="72">
        <f t="shared" si="196"/>
        <v>1281763.95</v>
      </c>
      <c r="M64" s="138">
        <f t="shared" si="196"/>
        <v>1152530.79</v>
      </c>
      <c r="N64" s="28">
        <f t="shared" si="196"/>
        <v>1277275.27</v>
      </c>
      <c r="O64" s="28">
        <f t="shared" si="196"/>
        <v>1677825.4700000002</v>
      </c>
      <c r="P64" s="28">
        <f t="shared" si="196"/>
        <v>2414631.4</v>
      </c>
      <c r="Q64" s="28">
        <f t="shared" si="196"/>
        <v>3128038.39</v>
      </c>
      <c r="R64" s="28">
        <f t="shared" si="196"/>
        <v>3296574.4400000004</v>
      </c>
      <c r="S64" s="28">
        <f t="shared" si="196"/>
        <v>3508610.4299999997</v>
      </c>
      <c r="T64" s="28">
        <f t="shared" si="196"/>
        <v>3739303.61</v>
      </c>
      <c r="U64" s="28">
        <f t="shared" si="196"/>
        <v>3560446.7000000007</v>
      </c>
      <c r="V64" s="28">
        <f t="shared" si="196"/>
        <v>3300670.9300000006</v>
      </c>
      <c r="W64" s="28">
        <f t="shared" si="196"/>
        <v>3402051.5</v>
      </c>
      <c r="X64" s="72">
        <f t="shared" si="196"/>
        <v>3485533.4899999998</v>
      </c>
      <c r="Y64" s="28">
        <f t="shared" si="196"/>
        <v>3653678.6599999997</v>
      </c>
      <c r="Z64" s="28">
        <f t="shared" si="196"/>
        <v>3785293.3800000004</v>
      </c>
      <c r="AA64" s="28">
        <f t="shared" si="196"/>
        <v>4392928.6499999994</v>
      </c>
      <c r="AB64" s="28">
        <f t="shared" si="196"/>
        <v>5483807.8399999999</v>
      </c>
      <c r="AC64" s="28">
        <f t="shared" si="196"/>
        <v>5198446.99</v>
      </c>
      <c r="AD64" s="46">
        <f t="shared" ref="AD64:AI64" si="197">SUM(AD59:AD63)</f>
        <v>5837138.3600000003</v>
      </c>
      <c r="AE64" s="46">
        <f t="shared" si="197"/>
        <v>6562983.9199999999</v>
      </c>
      <c r="AF64" s="46">
        <f t="shared" si="197"/>
        <v>6872024.5099999998</v>
      </c>
      <c r="AG64" s="46">
        <f t="shared" si="197"/>
        <v>6910079.4400000013</v>
      </c>
      <c r="AH64" s="46">
        <f t="shared" si="197"/>
        <v>6279068.0099999998</v>
      </c>
      <c r="AI64" s="46">
        <f t="shared" si="197"/>
        <v>5830294.1600000011</v>
      </c>
      <c r="AJ64" s="46">
        <f>SUM(AJ59:AJ63)</f>
        <v>5756892.7399999993</v>
      </c>
      <c r="AK64" s="210">
        <f>SUM(AK59:AK63)</f>
        <v>5398367.6299999999</v>
      </c>
      <c r="AL64" s="46">
        <f>SUM(AL59:AL63)</f>
        <v>5163541.24</v>
      </c>
      <c r="AM64" s="46">
        <f>SUM(AM59:AM63)</f>
        <v>5065844.08</v>
      </c>
      <c r="AN64" s="46">
        <f>SUM(AN59:AN63)</f>
        <v>5415884.0499999998</v>
      </c>
      <c r="AO64" s="46">
        <f t="shared" ref="AO64:AT64" si="198">SUM(AO59:AO63)</f>
        <v>9027774.7700000014</v>
      </c>
      <c r="AP64" s="46">
        <f t="shared" si="198"/>
        <v>11014142.799999999</v>
      </c>
      <c r="AQ64" s="46">
        <f t="shared" si="198"/>
        <v>11321471.863</v>
      </c>
      <c r="AR64" s="46">
        <f t="shared" si="198"/>
        <v>12614857.610000001</v>
      </c>
      <c r="AS64" s="46">
        <f t="shared" si="198"/>
        <v>7841438.1199999992</v>
      </c>
      <c r="AT64" s="46">
        <f t="shared" si="198"/>
        <v>7088543.2799999993</v>
      </c>
      <c r="AU64" s="46">
        <f t="shared" ref="AU64:BB64" si="199">SUM(AU59:AU63)</f>
        <v>6352068.96</v>
      </c>
      <c r="AV64" s="46">
        <f t="shared" si="199"/>
        <v>6320267.4099999992</v>
      </c>
      <c r="AW64" s="169">
        <f t="shared" si="199"/>
        <v>6247709.6399999997</v>
      </c>
      <c r="AX64" s="105">
        <f t="shared" si="199"/>
        <v>6165664.4499999993</v>
      </c>
      <c r="AY64" s="105">
        <f t="shared" si="199"/>
        <v>6103969.8899999987</v>
      </c>
      <c r="AZ64" s="104">
        <f t="shared" si="199"/>
        <v>7144935.4000000004</v>
      </c>
      <c r="BA64" s="104">
        <f t="shared" si="199"/>
        <v>9839240.7799999993</v>
      </c>
      <c r="BB64" s="104">
        <f t="shared" si="199"/>
        <v>13895529.16</v>
      </c>
      <c r="BC64" s="104">
        <f t="shared" ref="BC64:BH64" si="200">SUM(BC59:BC63)</f>
        <v>7325659.4100000001</v>
      </c>
      <c r="BD64" s="104">
        <f t="shared" si="200"/>
        <v>16024582.119999999</v>
      </c>
      <c r="BE64" s="104">
        <f t="shared" si="200"/>
        <v>6951882.9500000002</v>
      </c>
      <c r="BF64" s="104">
        <f t="shared" si="200"/>
        <v>6444029.75</v>
      </c>
      <c r="BG64" s="104">
        <f t="shared" si="200"/>
        <v>5995220.0299999993</v>
      </c>
      <c r="BH64" s="104">
        <f t="shared" si="200"/>
        <v>5780039.1599999992</v>
      </c>
      <c r="BI64" s="168">
        <f t="shared" si="177"/>
        <v>849342.00999999978</v>
      </c>
      <c r="BJ64" s="104">
        <f t="shared" si="178"/>
        <v>1002123.209999999</v>
      </c>
      <c r="BK64" s="104">
        <f t="shared" si="179"/>
        <v>1038125.8099999987</v>
      </c>
      <c r="BL64" s="104">
        <f t="shared" si="180"/>
        <v>1729051.3500000006</v>
      </c>
      <c r="BM64" s="104">
        <f t="shared" si="180"/>
        <v>811466.00999999791</v>
      </c>
      <c r="BN64" s="104">
        <f t="shared" si="180"/>
        <v>2881386.3600000013</v>
      </c>
      <c r="BO64" s="104">
        <f t="shared" si="180"/>
        <v>-3995812.4529999997</v>
      </c>
      <c r="BP64" s="104">
        <f t="shared" si="181"/>
        <v>3409724.5099999979</v>
      </c>
      <c r="BQ64" s="104">
        <f t="shared" si="182"/>
        <v>-889555.16999999899</v>
      </c>
      <c r="BR64" s="104">
        <f t="shared" si="183"/>
        <v>-644513.52999999933</v>
      </c>
      <c r="BS64" s="104">
        <f t="shared" si="183"/>
        <v>-356848.93000000063</v>
      </c>
      <c r="BT64" s="106">
        <f t="shared" si="183"/>
        <v>-540228.25</v>
      </c>
      <c r="BU64" s="169">
        <f t="shared" ref="BU64:CF64" si="201">SUM(BU59:BU63)</f>
        <v>5697094.0800000001</v>
      </c>
      <c r="BV64" s="105">
        <f t="shared" si="201"/>
        <v>5466388.3099999996</v>
      </c>
      <c r="BW64" s="105">
        <f t="shared" si="201"/>
        <v>5441855.7600000007</v>
      </c>
      <c r="BX64" s="105">
        <f t="shared" si="201"/>
        <v>5272713.66</v>
      </c>
      <c r="BY64" s="105">
        <f t="shared" si="201"/>
        <v>4889637.5500000007</v>
      </c>
      <c r="BZ64" s="104">
        <v>4660826.9400000004</v>
      </c>
      <c r="CA64" s="104">
        <f t="shared" si="201"/>
        <v>4390626.62</v>
      </c>
      <c r="CB64" s="104">
        <f t="shared" si="201"/>
        <v>4041032.17</v>
      </c>
      <c r="CC64" s="104">
        <f t="shared" si="201"/>
        <v>4009844.41</v>
      </c>
      <c r="CD64" s="104">
        <f t="shared" si="201"/>
        <v>3755087.05</v>
      </c>
      <c r="CE64" s="104">
        <f t="shared" si="201"/>
        <v>3388241.8</v>
      </c>
      <c r="CF64" s="106">
        <f t="shared" si="201"/>
        <v>0</v>
      </c>
      <c r="CG64" s="168">
        <f t="shared" si="184"/>
        <v>4847752.07</v>
      </c>
      <c r="CH64" s="104">
        <f t="shared" si="185"/>
        <v>4464265.1000000006</v>
      </c>
      <c r="CI64" s="104">
        <f t="shared" si="186"/>
        <v>4403729.950000002</v>
      </c>
      <c r="CJ64" s="104">
        <f t="shared" si="187"/>
        <v>3543662.3099999996</v>
      </c>
      <c r="CK64" s="104">
        <f t="shared" si="188"/>
        <v>4078171.5400000028</v>
      </c>
      <c r="CL64" s="104">
        <f t="shared" si="189"/>
        <v>1779440.5799999991</v>
      </c>
      <c r="CM64" s="104">
        <f t="shared" si="190"/>
        <v>8386439.0729999999</v>
      </c>
      <c r="CN64" s="104">
        <f t="shared" si="191"/>
        <v>631307.66000000201</v>
      </c>
      <c r="CO64" s="104">
        <f t="shared" si="192"/>
        <v>4899399.5799999991</v>
      </c>
      <c r="CP64" s="104">
        <f t="shared" si="193"/>
        <v>4399600.5799999991</v>
      </c>
      <c r="CQ64" s="104">
        <f t="shared" si="194"/>
        <v>3745090.7300000004</v>
      </c>
      <c r="CR64" s="106">
        <f t="shared" si="195"/>
        <v>540228.25</v>
      </c>
    </row>
    <row r="65" spans="1:96" x14ac:dyDescent="0.25">
      <c r="A65" s="49">
        <f>+A58+1</f>
        <v>9</v>
      </c>
      <c r="B65" s="103" t="s">
        <v>40</v>
      </c>
      <c r="C65" s="138"/>
      <c r="D65" s="28"/>
      <c r="E65" s="28"/>
      <c r="F65" s="28"/>
      <c r="G65" s="28"/>
      <c r="H65" s="28"/>
      <c r="I65" s="28"/>
      <c r="J65" s="28"/>
      <c r="K65" s="28"/>
      <c r="L65" s="72"/>
      <c r="M65" s="138"/>
      <c r="N65" s="28"/>
      <c r="O65" s="28"/>
      <c r="P65" s="28"/>
      <c r="Q65" s="28"/>
      <c r="R65" s="28"/>
      <c r="S65" s="28"/>
      <c r="T65" s="28"/>
      <c r="U65" s="28"/>
      <c r="V65" s="28"/>
      <c r="W65" s="28"/>
      <c r="X65" s="72"/>
      <c r="Y65" s="28"/>
      <c r="Z65" s="28"/>
      <c r="AA65" s="28"/>
      <c r="AB65" s="28"/>
      <c r="AC65" s="28"/>
      <c r="AD65" s="28"/>
      <c r="AE65" s="28"/>
      <c r="AF65" s="28"/>
      <c r="AG65" s="28"/>
      <c r="AH65" s="28"/>
      <c r="AI65" s="28"/>
      <c r="AJ65" s="28"/>
      <c r="AK65" s="138"/>
      <c r="AL65" s="28"/>
      <c r="AM65" s="28"/>
      <c r="AN65" s="28"/>
      <c r="AO65" s="28"/>
      <c r="AP65" s="28"/>
      <c r="AQ65" s="28"/>
      <c r="AR65" s="28"/>
      <c r="AS65" s="28"/>
      <c r="AT65" s="28"/>
      <c r="AU65" s="28"/>
      <c r="AV65" s="28"/>
      <c r="AW65" s="170"/>
      <c r="AX65" s="44"/>
      <c r="AY65" s="44"/>
      <c r="AZ65" s="44"/>
      <c r="BA65" s="44"/>
      <c r="BB65" s="44"/>
      <c r="BC65" s="195"/>
      <c r="BD65" s="104"/>
      <c r="BE65" s="104"/>
      <c r="BF65" s="104"/>
      <c r="BG65" s="44"/>
      <c r="BH65" s="97"/>
      <c r="BI65" s="170"/>
      <c r="BJ65" s="44"/>
      <c r="BK65" s="44"/>
      <c r="BL65" s="44"/>
      <c r="BM65" s="44"/>
      <c r="BN65" s="44"/>
      <c r="BO65" s="44"/>
      <c r="BP65" s="44"/>
      <c r="BQ65" s="44"/>
      <c r="BR65" s="44"/>
      <c r="BS65" s="44"/>
      <c r="BT65" s="97"/>
      <c r="BU65" s="170"/>
      <c r="BV65" s="44"/>
      <c r="BW65" s="44"/>
      <c r="BX65" s="44"/>
      <c r="BY65" s="44"/>
      <c r="BZ65" s="44"/>
      <c r="CA65" s="195"/>
      <c r="CB65" s="104"/>
      <c r="CC65" s="104"/>
      <c r="CD65" s="104"/>
      <c r="CE65" s="44"/>
      <c r="CF65" s="97"/>
      <c r="CG65" s="170"/>
      <c r="CH65" s="44"/>
      <c r="CI65" s="44"/>
      <c r="CJ65" s="44"/>
      <c r="CK65" s="44"/>
      <c r="CL65" s="44"/>
      <c r="CM65" s="44"/>
      <c r="CN65" s="44"/>
      <c r="CO65" s="44"/>
      <c r="CP65" s="44"/>
      <c r="CQ65" s="44"/>
      <c r="CR65" s="97"/>
    </row>
    <row r="66" spans="1:96" x14ac:dyDescent="0.25">
      <c r="A66" s="49"/>
      <c r="B66" s="96" t="s">
        <v>34</v>
      </c>
      <c r="C66" s="138">
        <f t="shared" ref="C66:G70" si="202">SUM(C45+C52+C59)</f>
        <v>3078951.17</v>
      </c>
      <c r="D66" s="28">
        <f t="shared" si="202"/>
        <v>3180627.34</v>
      </c>
      <c r="E66" s="28">
        <f t="shared" si="202"/>
        <v>2861146.44</v>
      </c>
      <c r="F66" s="28">
        <f t="shared" si="202"/>
        <v>2476669.91</v>
      </c>
      <c r="G66" s="28">
        <f t="shared" si="202"/>
        <v>1976984.96</v>
      </c>
      <c r="H66" s="28">
        <f>SUM(H45+H59+H52)</f>
        <v>1625060.47</v>
      </c>
      <c r="I66" s="28">
        <f t="shared" ref="I66:AB66" si="203">SUM(I45+I52+I59)</f>
        <v>1332224.3</v>
      </c>
      <c r="J66" s="28">
        <f t="shared" si="203"/>
        <v>1157506.21</v>
      </c>
      <c r="K66" s="28">
        <f t="shared" si="203"/>
        <v>1136902.6400000001</v>
      </c>
      <c r="L66" s="72">
        <f t="shared" si="203"/>
        <v>1471549.4900000002</v>
      </c>
      <c r="M66" s="138">
        <f t="shared" si="203"/>
        <v>2144349.6100000003</v>
      </c>
      <c r="N66" s="28">
        <f t="shared" si="203"/>
        <v>2879225.98</v>
      </c>
      <c r="O66" s="28">
        <f t="shared" si="203"/>
        <v>3393412.36</v>
      </c>
      <c r="P66" s="28">
        <f t="shared" si="203"/>
        <v>3790769.37</v>
      </c>
      <c r="Q66" s="28">
        <f t="shared" si="203"/>
        <v>4158584.8200000003</v>
      </c>
      <c r="R66" s="28">
        <f t="shared" si="203"/>
        <v>4447489.66</v>
      </c>
      <c r="S66" s="28">
        <f t="shared" si="203"/>
        <v>3854649.3600000003</v>
      </c>
      <c r="T66" s="28">
        <f t="shared" si="203"/>
        <v>3620404.22</v>
      </c>
      <c r="U66" s="28">
        <f t="shared" si="203"/>
        <v>3439204.49</v>
      </c>
      <c r="V66" s="28">
        <f t="shared" si="203"/>
        <v>3228951.7800000003</v>
      </c>
      <c r="W66" s="28">
        <f t="shared" si="203"/>
        <v>3170501.8099999996</v>
      </c>
      <c r="X66" s="72">
        <f t="shared" si="203"/>
        <v>3382317.1</v>
      </c>
      <c r="Y66" s="28">
        <f t="shared" si="203"/>
        <v>4184795.71</v>
      </c>
      <c r="Z66" s="28">
        <f t="shared" si="203"/>
        <v>5499524.7400000002</v>
      </c>
      <c r="AA66" s="28">
        <f t="shared" si="203"/>
        <v>6064852.3199999994</v>
      </c>
      <c r="AB66" s="28">
        <f t="shared" si="203"/>
        <v>6583871.5700000003</v>
      </c>
      <c r="AC66" s="128">
        <f t="shared" ref="AC66:AF70" si="204">SUM(AC45+AC52+AC59)</f>
        <v>6416886.6400000006</v>
      </c>
      <c r="AD66" s="128">
        <f t="shared" si="204"/>
        <v>5416684.3399999999</v>
      </c>
      <c r="AE66" s="128">
        <f t="shared" si="204"/>
        <v>5529081.8100000005</v>
      </c>
      <c r="AF66" s="128">
        <f t="shared" si="204"/>
        <v>5320986.0299999993</v>
      </c>
      <c r="AG66" s="128">
        <f t="shared" ref="AG66:AN66" si="205">SUM(AG45+AG52+AG59)</f>
        <v>4800384.4300000006</v>
      </c>
      <c r="AH66" s="128">
        <f t="shared" si="205"/>
        <v>4556997.01</v>
      </c>
      <c r="AI66" s="128">
        <f t="shared" si="205"/>
        <v>4342807.9300000006</v>
      </c>
      <c r="AJ66" s="128">
        <f t="shared" si="205"/>
        <v>4344333.5299999993</v>
      </c>
      <c r="AK66" s="212">
        <f t="shared" si="205"/>
        <v>4334366.25</v>
      </c>
      <c r="AL66" s="128">
        <f t="shared" si="205"/>
        <v>4848921.18</v>
      </c>
      <c r="AM66" s="128">
        <f t="shared" si="205"/>
        <v>5896828.2400000002</v>
      </c>
      <c r="AN66" s="128">
        <f t="shared" si="205"/>
        <v>6941435.6500000004</v>
      </c>
      <c r="AO66" s="128">
        <f>AO59+AO52+AO45</f>
        <v>10333312.959999999</v>
      </c>
      <c r="AP66" s="128">
        <f t="shared" ref="AP66:AQ69" si="206">AP45+AP52+AP59</f>
        <v>10893997.239999998</v>
      </c>
      <c r="AQ66" s="128">
        <f t="shared" si="206"/>
        <v>10543541.213</v>
      </c>
      <c r="AR66" s="128">
        <f>AR45+AR52+AR59</f>
        <v>9884619.790000001</v>
      </c>
      <c r="AS66" s="128">
        <f>143370.3+5385584.15+199.46</f>
        <v>5529153.9100000001</v>
      </c>
      <c r="AT66" s="128">
        <f t="shared" ref="AT66:AU69" si="207">AT45+AT52+AT59</f>
        <v>5129777.4499999993</v>
      </c>
      <c r="AU66" s="128">
        <f t="shared" si="207"/>
        <v>4679550.9400000004</v>
      </c>
      <c r="AV66" s="128">
        <f t="shared" ref="AV66:AW70" si="208">AV45+AV52+AV59</f>
        <v>4774726.1900000004</v>
      </c>
      <c r="AW66" s="168">
        <f t="shared" si="208"/>
        <v>4531050.33</v>
      </c>
      <c r="AX66" s="104">
        <f t="shared" ref="AX66:AY70" si="209">AX45+AX52+AX59</f>
        <v>5545513.5600000005</v>
      </c>
      <c r="AY66" s="104">
        <f t="shared" si="209"/>
        <v>6537903.6399999997</v>
      </c>
      <c r="AZ66" s="104">
        <f t="shared" ref="AZ66:BB66" si="210">AZ45+AZ52+AZ59</f>
        <v>7119414.3399999999</v>
      </c>
      <c r="BA66" s="104">
        <f t="shared" si="210"/>
        <v>10830333.35</v>
      </c>
      <c r="BB66" s="104">
        <f t="shared" si="210"/>
        <v>12513049.039999999</v>
      </c>
      <c r="BC66" s="104">
        <f>143933.19+5810372.28+155.49</f>
        <v>5954460.9600000009</v>
      </c>
      <c r="BD66" s="104">
        <v>11300884.98</v>
      </c>
      <c r="BE66" s="104">
        <f t="shared" ref="BE66:BF69" si="211">BE45+BE52+BE59</f>
        <v>4103583.91</v>
      </c>
      <c r="BF66" s="104">
        <f t="shared" si="211"/>
        <v>3753793.54</v>
      </c>
      <c r="BG66" s="195">
        <f>SUM(BG45,BG52,BG59)</f>
        <v>3366797.95</v>
      </c>
      <c r="BH66" s="195">
        <v>3310010.1799999997</v>
      </c>
      <c r="BI66" s="168">
        <f t="shared" ref="BI66:BK66" si="212">BI45+BI52+BI59</f>
        <v>196684.08000000037</v>
      </c>
      <c r="BJ66" s="104">
        <f t="shared" si="212"/>
        <v>696592.38000000035</v>
      </c>
      <c r="BK66" s="104">
        <f t="shared" si="212"/>
        <v>641075.39999999944</v>
      </c>
      <c r="BL66" s="104">
        <f t="shared" ref="BL66:BO66" si="213">BL45+BL52+BL59</f>
        <v>177978.68999999994</v>
      </c>
      <c r="BM66" s="104">
        <f t="shared" si="213"/>
        <v>497020.38999999943</v>
      </c>
      <c r="BN66" s="104">
        <f t="shared" si="213"/>
        <v>1619051.800000001</v>
      </c>
      <c r="BO66" s="104">
        <f t="shared" si="213"/>
        <v>-5220748.5029999996</v>
      </c>
      <c r="BP66" s="104">
        <f t="shared" ref="BP66:BR66" si="214">BP45+BP52+BP59</f>
        <v>1416265.1899999995</v>
      </c>
      <c r="BQ66" s="104">
        <f t="shared" si="214"/>
        <v>-1425569.9999999991</v>
      </c>
      <c r="BR66" s="104">
        <f t="shared" si="214"/>
        <v>-1375983.9099999992</v>
      </c>
      <c r="BS66" s="104">
        <f t="shared" ref="BS66:BY66" si="215">BS45+BS52+BS59</f>
        <v>-1312752.9900000002</v>
      </c>
      <c r="BT66" s="106">
        <f t="shared" si="215"/>
        <v>-1464716.0100000002</v>
      </c>
      <c r="BU66" s="168">
        <f t="shared" si="215"/>
        <v>3348877</v>
      </c>
      <c r="BV66" s="104">
        <f t="shared" si="215"/>
        <v>3633691.5200000005</v>
      </c>
      <c r="BW66" s="104">
        <f t="shared" si="215"/>
        <v>3783825.21</v>
      </c>
      <c r="BX66" s="104">
        <f t="shared" si="215"/>
        <v>3322992.7800000003</v>
      </c>
      <c r="BY66" s="104">
        <f t="shared" si="215"/>
        <v>2995564.1500000004</v>
      </c>
      <c r="BZ66" s="104">
        <v>3248548.42</v>
      </c>
      <c r="CA66" s="104">
        <f t="shared" ref="CA66:CR66" si="216">CA45+CA52+CA59</f>
        <v>3131019.6500000004</v>
      </c>
      <c r="CB66" s="104">
        <f t="shared" si="216"/>
        <v>2690252.8899999997</v>
      </c>
      <c r="CC66" s="104">
        <f t="shared" si="216"/>
        <v>2666818.8310000002</v>
      </c>
      <c r="CD66" s="104">
        <f t="shared" si="216"/>
        <v>2334089.56</v>
      </c>
      <c r="CE66" s="195">
        <f t="shared" si="216"/>
        <v>2085814.9699999997</v>
      </c>
      <c r="CF66" s="214">
        <f t="shared" si="216"/>
        <v>0</v>
      </c>
      <c r="CG66" s="168">
        <f t="shared" si="216"/>
        <v>3152192.9199999995</v>
      </c>
      <c r="CH66" s="104">
        <f t="shared" si="216"/>
        <v>2937099.1399999997</v>
      </c>
      <c r="CI66" s="104">
        <f t="shared" si="216"/>
        <v>3142749.8100000005</v>
      </c>
      <c r="CJ66" s="104">
        <f t="shared" si="216"/>
        <v>3145014.0900000003</v>
      </c>
      <c r="CK66" s="104">
        <f t="shared" si="216"/>
        <v>2498543.7600000007</v>
      </c>
      <c r="CL66" s="104">
        <f t="shared" si="216"/>
        <v>1629496.6199999992</v>
      </c>
      <c r="CM66" s="104">
        <f t="shared" si="216"/>
        <v>8351768.1529999999</v>
      </c>
      <c r="CN66" s="104">
        <f t="shared" si="216"/>
        <v>1273987.7000000004</v>
      </c>
      <c r="CO66" s="104">
        <f t="shared" si="216"/>
        <v>4092388.8309999993</v>
      </c>
      <c r="CP66" s="104">
        <f t="shared" si="216"/>
        <v>3710073.4699999993</v>
      </c>
      <c r="CQ66" s="104">
        <f t="shared" si="216"/>
        <v>3398567.96</v>
      </c>
      <c r="CR66" s="106">
        <f t="shared" si="216"/>
        <v>1464716.0100000002</v>
      </c>
    </row>
    <row r="67" spans="1:96" x14ac:dyDescent="0.25">
      <c r="A67" s="49"/>
      <c r="B67" s="96" t="s">
        <v>35</v>
      </c>
      <c r="C67" s="138">
        <f t="shared" si="202"/>
        <v>1497238.7</v>
      </c>
      <c r="D67" s="28">
        <f t="shared" si="202"/>
        <v>1469460.12</v>
      </c>
      <c r="E67" s="28">
        <f t="shared" si="202"/>
        <v>1163198.8700000001</v>
      </c>
      <c r="F67" s="28">
        <f t="shared" si="202"/>
        <v>1071717.02</v>
      </c>
      <c r="G67" s="28">
        <f t="shared" si="202"/>
        <v>996001.34000000008</v>
      </c>
      <c r="H67" s="28">
        <f>SUM(H46+H53+H60)</f>
        <v>894353.51</v>
      </c>
      <c r="I67" s="28">
        <f t="shared" ref="I67:AB67" si="217">SUM(I46+I53+I60)</f>
        <v>828359.91999999993</v>
      </c>
      <c r="J67" s="28">
        <f t="shared" si="217"/>
        <v>787617.59</v>
      </c>
      <c r="K67" s="28">
        <f t="shared" si="217"/>
        <v>824109.14</v>
      </c>
      <c r="L67" s="72">
        <f t="shared" si="217"/>
        <v>948375.52</v>
      </c>
      <c r="M67" s="138">
        <f t="shared" si="217"/>
        <v>1109618.5499999998</v>
      </c>
      <c r="N67" s="28">
        <f t="shared" si="217"/>
        <v>1345640.97</v>
      </c>
      <c r="O67" s="28">
        <f t="shared" si="217"/>
        <v>1477971.38</v>
      </c>
      <c r="P67" s="28">
        <f t="shared" si="217"/>
        <v>1717545.99</v>
      </c>
      <c r="Q67" s="28">
        <f t="shared" si="217"/>
        <v>1765582.08</v>
      </c>
      <c r="R67" s="28">
        <f t="shared" si="217"/>
        <v>736333.82000000007</v>
      </c>
      <c r="S67" s="28">
        <f t="shared" si="217"/>
        <v>508194.12</v>
      </c>
      <c r="T67" s="28">
        <f t="shared" si="217"/>
        <v>628270.55000000005</v>
      </c>
      <c r="U67" s="28">
        <f t="shared" si="217"/>
        <v>967984.77</v>
      </c>
      <c r="V67" s="28">
        <f t="shared" si="217"/>
        <v>1062875.19</v>
      </c>
      <c r="W67" s="28">
        <f t="shared" si="217"/>
        <v>1274302.1499999999</v>
      </c>
      <c r="X67" s="72">
        <f t="shared" si="217"/>
        <v>1422583.9</v>
      </c>
      <c r="Y67" s="28">
        <f t="shared" si="217"/>
        <v>1864154.9</v>
      </c>
      <c r="Z67" s="28">
        <f t="shared" si="217"/>
        <v>2472487.79</v>
      </c>
      <c r="AA67" s="28">
        <f t="shared" si="217"/>
        <v>2642100.1</v>
      </c>
      <c r="AB67" s="28">
        <f t="shared" si="217"/>
        <v>2744098.96</v>
      </c>
      <c r="AC67" s="128">
        <f t="shared" si="204"/>
        <v>1695550.09</v>
      </c>
      <c r="AD67" s="128">
        <f t="shared" si="204"/>
        <v>2686427.26</v>
      </c>
      <c r="AE67" s="128">
        <f t="shared" ref="AE67:AF70" si="218">SUM(AE46+AE53+AE60)</f>
        <v>2466374.9900000002</v>
      </c>
      <c r="AF67" s="128">
        <f t="shared" si="218"/>
        <v>2361245.15</v>
      </c>
      <c r="AG67" s="128">
        <f t="shared" ref="AG67:AI71" si="219">SUM(AG46+AG53+AG60)</f>
        <v>3150608.5599999996</v>
      </c>
      <c r="AH67" s="128">
        <f t="shared" si="219"/>
        <v>2081801.42</v>
      </c>
      <c r="AI67" s="128">
        <f t="shared" si="219"/>
        <v>1800740.52</v>
      </c>
      <c r="AJ67" s="128">
        <f t="shared" ref="AJ67:AN71" si="220">SUM(AJ46+AJ53+AJ60)</f>
        <v>1777412.28</v>
      </c>
      <c r="AK67" s="212">
        <f t="shared" si="220"/>
        <v>1804014.45</v>
      </c>
      <c r="AL67" s="128">
        <f t="shared" si="220"/>
        <v>1904435.53</v>
      </c>
      <c r="AM67" s="128">
        <f t="shared" si="220"/>
        <v>2166609.31</v>
      </c>
      <c r="AN67" s="128">
        <f t="shared" si="220"/>
        <v>2549926.0099999998</v>
      </c>
      <c r="AO67" s="128">
        <f>AO60+AO53+AO46</f>
        <v>1972694.8900000001</v>
      </c>
      <c r="AP67" s="128">
        <f t="shared" si="206"/>
        <v>3145967.16</v>
      </c>
      <c r="AQ67" s="128">
        <f t="shared" si="206"/>
        <v>3077551.52</v>
      </c>
      <c r="AR67" s="128">
        <f>AR46+AR53+AR60</f>
        <v>2941653.8099999996</v>
      </c>
      <c r="AS67" s="128">
        <f>27687.4+2571474.47</f>
        <v>2599161.87</v>
      </c>
      <c r="AT67" s="128">
        <f t="shared" si="207"/>
        <v>2440739.2399999998</v>
      </c>
      <c r="AU67" s="128">
        <f t="shared" si="207"/>
        <v>2071739.91</v>
      </c>
      <c r="AV67" s="128">
        <f t="shared" si="208"/>
        <v>2162747.7400000002</v>
      </c>
      <c r="AW67" s="168">
        <f t="shared" si="208"/>
        <v>2569566.2899999996</v>
      </c>
      <c r="AX67" s="104">
        <f t="shared" si="209"/>
        <v>2421247.98</v>
      </c>
      <c r="AY67" s="104">
        <f t="shared" si="209"/>
        <v>2739073.11</v>
      </c>
      <c r="AZ67" s="104">
        <f t="shared" ref="AZ67:BB67" si="221">AZ46+AZ53+AZ60</f>
        <v>3423467.4599999995</v>
      </c>
      <c r="BA67" s="104">
        <f t="shared" si="221"/>
        <v>3671237.69</v>
      </c>
      <c r="BB67" s="104">
        <f t="shared" si="221"/>
        <v>5006124.8899999997</v>
      </c>
      <c r="BC67" s="104">
        <f>48892.02+3655828.42</f>
        <v>3704720.44</v>
      </c>
      <c r="BD67" s="104">
        <v>4992449.99</v>
      </c>
      <c r="BE67" s="104">
        <f t="shared" si="211"/>
        <v>3105259.12</v>
      </c>
      <c r="BF67" s="104">
        <f t="shared" si="211"/>
        <v>2845843.7</v>
      </c>
      <c r="BG67" s="195">
        <f>SUM(BG46,BG53,BG60)</f>
        <v>2805426.76</v>
      </c>
      <c r="BH67" s="195">
        <v>2662342.4199999995</v>
      </c>
      <c r="BI67" s="168">
        <f t="shared" ref="BI67:BK67" si="222">BI46+BI53+BI60</f>
        <v>765551.83999999973</v>
      </c>
      <c r="BJ67" s="104">
        <f t="shared" si="222"/>
        <v>516812.44999999984</v>
      </c>
      <c r="BK67" s="104">
        <f t="shared" si="222"/>
        <v>572463.80000000005</v>
      </c>
      <c r="BL67" s="104">
        <f t="shared" ref="BL67:BO67" si="223">BL46+BL53+BL60</f>
        <v>873541.44999999972</v>
      </c>
      <c r="BM67" s="104">
        <f t="shared" si="223"/>
        <v>1698542.7999999998</v>
      </c>
      <c r="BN67" s="104">
        <f t="shared" si="223"/>
        <v>1860157.7299999995</v>
      </c>
      <c r="BO67" s="104">
        <f t="shared" si="223"/>
        <v>416717.93000000011</v>
      </c>
      <c r="BP67" s="104">
        <f t="shared" ref="BP67:BR67" si="224">BP46+BP53+BP60</f>
        <v>2050796.1799999997</v>
      </c>
      <c r="BQ67" s="104">
        <f t="shared" si="224"/>
        <v>506097.25000000029</v>
      </c>
      <c r="BR67" s="104">
        <f t="shared" si="224"/>
        <v>405104.46000000049</v>
      </c>
      <c r="BS67" s="104">
        <f t="shared" ref="BS67:BY67" si="225">BS46+BS53+BS60</f>
        <v>733686.85</v>
      </c>
      <c r="BT67" s="106">
        <f t="shared" si="225"/>
        <v>499594.67999999947</v>
      </c>
      <c r="BU67" s="168">
        <f t="shared" si="225"/>
        <v>2743295.19</v>
      </c>
      <c r="BV67" s="104">
        <f t="shared" si="225"/>
        <v>2923284.66</v>
      </c>
      <c r="BW67" s="104">
        <f t="shared" si="225"/>
        <v>3266138.7399999998</v>
      </c>
      <c r="BX67" s="104">
        <f t="shared" si="225"/>
        <v>3608217.1</v>
      </c>
      <c r="BY67" s="104">
        <f t="shared" si="225"/>
        <v>3347047.4000000004</v>
      </c>
      <c r="BZ67" s="104">
        <v>2423286.2599999998</v>
      </c>
      <c r="CA67" s="104">
        <f t="shared" ref="CA67:CR67" si="226">CA46+CA53+CA60</f>
        <v>1931768.9800000002</v>
      </c>
      <c r="CB67" s="104">
        <f t="shared" si="226"/>
        <v>1700672.52</v>
      </c>
      <c r="CC67" s="104">
        <f t="shared" si="226"/>
        <v>1689380.3499999999</v>
      </c>
      <c r="CD67" s="104">
        <f t="shared" si="226"/>
        <v>1522295.15</v>
      </c>
      <c r="CE67" s="195">
        <f t="shared" si="226"/>
        <v>1374738.38</v>
      </c>
      <c r="CF67" s="214">
        <f t="shared" si="226"/>
        <v>0</v>
      </c>
      <c r="CG67" s="168">
        <f t="shared" si="226"/>
        <v>1977743.3500000003</v>
      </c>
      <c r="CH67" s="104">
        <f t="shared" si="226"/>
        <v>2406472.2100000004</v>
      </c>
      <c r="CI67" s="104">
        <f t="shared" si="226"/>
        <v>2693674.9399999995</v>
      </c>
      <c r="CJ67" s="104">
        <f t="shared" si="226"/>
        <v>2734675.6500000004</v>
      </c>
      <c r="CK67" s="104">
        <f t="shared" si="226"/>
        <v>1648504.6000000003</v>
      </c>
      <c r="CL67" s="104">
        <f t="shared" si="226"/>
        <v>563128.53000000038</v>
      </c>
      <c r="CM67" s="104">
        <f t="shared" si="226"/>
        <v>1515051.05</v>
      </c>
      <c r="CN67" s="104">
        <f t="shared" si="226"/>
        <v>-350123.65999999992</v>
      </c>
      <c r="CO67" s="104">
        <f t="shared" si="226"/>
        <v>1183283.0999999996</v>
      </c>
      <c r="CP67" s="104">
        <f t="shared" si="226"/>
        <v>1117190.6899999995</v>
      </c>
      <c r="CQ67" s="104">
        <f t="shared" si="226"/>
        <v>641051.53</v>
      </c>
      <c r="CR67" s="106">
        <f t="shared" si="226"/>
        <v>-499594.67999999947</v>
      </c>
    </row>
    <row r="68" spans="1:96" x14ac:dyDescent="0.25">
      <c r="A68" s="49"/>
      <c r="B68" s="96" t="s">
        <v>36</v>
      </c>
      <c r="C68" s="138">
        <f t="shared" si="202"/>
        <v>361940.41000000003</v>
      </c>
      <c r="D68" s="28">
        <f t="shared" si="202"/>
        <v>203534.76</v>
      </c>
      <c r="E68" s="28">
        <f t="shared" si="202"/>
        <v>174104.93</v>
      </c>
      <c r="F68" s="28">
        <f t="shared" si="202"/>
        <v>134061.98000000001</v>
      </c>
      <c r="G68" s="28">
        <f t="shared" si="202"/>
        <v>96921.518000000011</v>
      </c>
      <c r="H68" s="28">
        <f>SUM(H47+H54+H61)</f>
        <v>77322.989999999991</v>
      </c>
      <c r="I68" s="28">
        <f t="shared" ref="I68:AB68" si="227">SUM(I47+I54+I61)</f>
        <v>66746.23</v>
      </c>
      <c r="J68" s="28">
        <f t="shared" si="227"/>
        <v>53856.480000000003</v>
      </c>
      <c r="K68" s="28">
        <f t="shared" si="227"/>
        <v>56464.43</v>
      </c>
      <c r="L68" s="72">
        <f t="shared" si="227"/>
        <v>69575.600000000006</v>
      </c>
      <c r="M68" s="138">
        <f t="shared" si="227"/>
        <v>140243.15</v>
      </c>
      <c r="N68" s="28">
        <f t="shared" si="227"/>
        <v>264376.21000000002</v>
      </c>
      <c r="O68" s="28">
        <f t="shared" si="227"/>
        <v>280170.52999999997</v>
      </c>
      <c r="P68" s="28">
        <f t="shared" si="227"/>
        <v>340627.68999999994</v>
      </c>
      <c r="Q68" s="28">
        <f t="shared" si="227"/>
        <v>402349.93</v>
      </c>
      <c r="R68" s="28">
        <f t="shared" si="227"/>
        <v>263644.13</v>
      </c>
      <c r="S68" s="28">
        <f t="shared" si="227"/>
        <v>215340.03000000003</v>
      </c>
      <c r="T68" s="28">
        <f t="shared" si="227"/>
        <v>335555.45</v>
      </c>
      <c r="U68" s="28">
        <f t="shared" si="227"/>
        <v>105351.69</v>
      </c>
      <c r="V68" s="28">
        <f t="shared" si="227"/>
        <v>73553.859999999986</v>
      </c>
      <c r="W68" s="28">
        <f t="shared" si="227"/>
        <v>87754.209999999992</v>
      </c>
      <c r="X68" s="72">
        <f t="shared" si="227"/>
        <v>117223.41999999998</v>
      </c>
      <c r="Y68" s="28">
        <f t="shared" si="227"/>
        <v>203729.39</v>
      </c>
      <c r="Z68" s="28">
        <f t="shared" si="227"/>
        <v>351447.10000000003</v>
      </c>
      <c r="AA68" s="28">
        <f t="shared" si="227"/>
        <v>287123.98</v>
      </c>
      <c r="AB68" s="28">
        <f t="shared" si="227"/>
        <v>305943.65000000002</v>
      </c>
      <c r="AC68" s="128">
        <f t="shared" si="204"/>
        <v>217178.36000000002</v>
      </c>
      <c r="AD68" s="128">
        <f t="shared" si="204"/>
        <v>240144.48</v>
      </c>
      <c r="AE68" s="128">
        <f t="shared" si="218"/>
        <v>227625.22999999998</v>
      </c>
      <c r="AF68" s="128">
        <f t="shared" si="218"/>
        <v>217922.71</v>
      </c>
      <c r="AG68" s="128">
        <f t="shared" si="219"/>
        <v>218792.69</v>
      </c>
      <c r="AH68" s="128">
        <f t="shared" si="219"/>
        <v>193988.63</v>
      </c>
      <c r="AI68" s="128">
        <f t="shared" si="219"/>
        <v>183535.76</v>
      </c>
      <c r="AJ68" s="128">
        <f t="shared" si="220"/>
        <v>181724.33000000002</v>
      </c>
      <c r="AK68" s="212">
        <f t="shared" si="220"/>
        <v>159265.13</v>
      </c>
      <c r="AL68" s="128">
        <f t="shared" si="220"/>
        <v>182877.13</v>
      </c>
      <c r="AM68" s="128">
        <f t="shared" si="220"/>
        <v>273011.51</v>
      </c>
      <c r="AN68" s="128">
        <f t="shared" si="220"/>
        <v>313640.67000000004</v>
      </c>
      <c r="AO68" s="128">
        <f>AO61+AO54+AO47</f>
        <v>240656.87000000002</v>
      </c>
      <c r="AP68" s="128">
        <f t="shared" si="206"/>
        <v>590886.1399999999</v>
      </c>
      <c r="AQ68" s="128">
        <f t="shared" si="206"/>
        <v>566023.48</v>
      </c>
      <c r="AR68" s="128">
        <f>AR47+AR54+AR61</f>
        <v>479223.6</v>
      </c>
      <c r="AS68" s="128">
        <f>304161.03+48894.72+367.28+915.87</f>
        <v>354338.9</v>
      </c>
      <c r="AT68" s="128">
        <f t="shared" si="207"/>
        <v>319654.87</v>
      </c>
      <c r="AU68" s="128">
        <f t="shared" si="207"/>
        <v>294176.08</v>
      </c>
      <c r="AV68" s="128">
        <f t="shared" si="208"/>
        <v>306042.03999999998</v>
      </c>
      <c r="AW68" s="168">
        <f t="shared" si="208"/>
        <v>312402.23</v>
      </c>
      <c r="AX68" s="104">
        <f t="shared" si="209"/>
        <v>369479.31</v>
      </c>
      <c r="AY68" s="104">
        <f t="shared" si="209"/>
        <v>364250.73</v>
      </c>
      <c r="AZ68" s="104">
        <f t="shared" ref="AZ68:BB68" si="228">AZ47+AZ54+AZ61</f>
        <v>797400.6399999999</v>
      </c>
      <c r="BA68" s="104">
        <f t="shared" si="228"/>
        <v>368427.78</v>
      </c>
      <c r="BB68" s="104">
        <f t="shared" si="228"/>
        <v>618410</v>
      </c>
      <c r="BC68" s="104">
        <f>224206.54+56550.02+3650.67+1432.6</f>
        <v>285839.82999999996</v>
      </c>
      <c r="BD68" s="104">
        <v>576259.34</v>
      </c>
      <c r="BE68" s="104">
        <f t="shared" si="211"/>
        <v>171359.32</v>
      </c>
      <c r="BF68" s="104">
        <f t="shared" si="211"/>
        <v>117819.74999999999</v>
      </c>
      <c r="BG68" s="195">
        <f>SUM(BG47,BG54,BG61)</f>
        <v>117668.28</v>
      </c>
      <c r="BH68" s="195">
        <v>128362.56</v>
      </c>
      <c r="BI68" s="168">
        <f t="shared" ref="BI68:BK68" si="229">BI47+BI54+BI61</f>
        <v>153137.1</v>
      </c>
      <c r="BJ68" s="104">
        <f t="shared" si="229"/>
        <v>186602.18</v>
      </c>
      <c r="BK68" s="104">
        <f t="shared" si="229"/>
        <v>91239.22</v>
      </c>
      <c r="BL68" s="104">
        <f t="shared" ref="BL68:BO68" si="230">BL47+BL54+BL61</f>
        <v>483759.96999999986</v>
      </c>
      <c r="BM68" s="104">
        <f t="shared" si="230"/>
        <v>127770.91</v>
      </c>
      <c r="BN68" s="104">
        <f t="shared" si="230"/>
        <v>27523.860000000088</v>
      </c>
      <c r="BO68" s="104">
        <f t="shared" si="230"/>
        <v>-321203.36999999994</v>
      </c>
      <c r="BP68" s="104">
        <f t="shared" ref="BP68:BR68" si="231">BP47+BP54+BP61</f>
        <v>97033.74000000002</v>
      </c>
      <c r="BQ68" s="104">
        <f t="shared" si="231"/>
        <v>-510036.73000000004</v>
      </c>
      <c r="BR68" s="104">
        <f t="shared" si="231"/>
        <v>-201835.12</v>
      </c>
      <c r="BS68" s="104">
        <f t="shared" ref="BS68:BX68" si="232">BS47+BS54+BS61</f>
        <v>-176507.80000000002</v>
      </c>
      <c r="BT68" s="106">
        <f t="shared" si="232"/>
        <v>-177679.47999999995</v>
      </c>
      <c r="BU68" s="168">
        <f t="shared" si="232"/>
        <v>99589.47600000001</v>
      </c>
      <c r="BV68" s="104">
        <f t="shared" si="232"/>
        <v>121742.51</v>
      </c>
      <c r="BW68" s="104">
        <f t="shared" si="232"/>
        <v>140990.12</v>
      </c>
      <c r="BX68" s="104">
        <f t="shared" si="232"/>
        <v>126236.64</v>
      </c>
      <c r="BY68" s="104">
        <v>112400</v>
      </c>
      <c r="BZ68" s="104">
        <v>121228.81000000003</v>
      </c>
      <c r="CA68" s="104">
        <f t="shared" ref="CA68:CR68" si="233">CA47+CA54+CA61</f>
        <v>107469.34999999999</v>
      </c>
      <c r="CB68" s="104">
        <f t="shared" si="233"/>
        <v>72937.69</v>
      </c>
      <c r="CC68" s="104">
        <f t="shared" si="233"/>
        <v>74457.34</v>
      </c>
      <c r="CD68" s="104">
        <f t="shared" si="233"/>
        <v>67744.63</v>
      </c>
      <c r="CE68" s="195">
        <f t="shared" si="233"/>
        <v>52241.17</v>
      </c>
      <c r="CF68" s="214">
        <f t="shared" si="233"/>
        <v>0</v>
      </c>
      <c r="CG68" s="168">
        <f t="shared" si="233"/>
        <v>-53547.623999999996</v>
      </c>
      <c r="CH68" s="104">
        <f t="shared" si="233"/>
        <v>-64859.670000000013</v>
      </c>
      <c r="CI68" s="104">
        <f t="shared" si="233"/>
        <v>49750.900000000009</v>
      </c>
      <c r="CJ68" s="104">
        <f t="shared" si="233"/>
        <v>-357523.32999999984</v>
      </c>
      <c r="CK68" s="104">
        <f t="shared" si="233"/>
        <v>-15371.289999999979</v>
      </c>
      <c r="CL68" s="104">
        <f t="shared" si="233"/>
        <v>93704.949999999924</v>
      </c>
      <c r="CM68" s="104">
        <f t="shared" si="233"/>
        <v>428672.71999999991</v>
      </c>
      <c r="CN68" s="104">
        <f t="shared" si="233"/>
        <v>-24096.050000000025</v>
      </c>
      <c r="CO68" s="104">
        <f t="shared" si="233"/>
        <v>584494.06999999995</v>
      </c>
      <c r="CP68" s="104">
        <f t="shared" si="233"/>
        <v>269579.75</v>
      </c>
      <c r="CQ68" s="104">
        <f t="shared" si="233"/>
        <v>228748.97000000003</v>
      </c>
      <c r="CR68" s="106">
        <f t="shared" si="233"/>
        <v>177679.47999999995</v>
      </c>
    </row>
    <row r="69" spans="1:96" x14ac:dyDescent="0.25">
      <c r="A69" s="49"/>
      <c r="B69" s="96" t="s">
        <v>37</v>
      </c>
      <c r="C69" s="138">
        <f t="shared" si="202"/>
        <v>191205.14</v>
      </c>
      <c r="D69" s="28">
        <f t="shared" si="202"/>
        <v>207785.49</v>
      </c>
      <c r="E69" s="28">
        <f t="shared" si="202"/>
        <v>161081.43</v>
      </c>
      <c r="F69" s="28">
        <f t="shared" si="202"/>
        <v>129680.17</v>
      </c>
      <c r="G69" s="28">
        <f t="shared" si="202"/>
        <v>58796.94</v>
      </c>
      <c r="H69" s="28">
        <f>SUM(H48+H55+H62)</f>
        <v>51133.73</v>
      </c>
      <c r="I69" s="28">
        <f t="shared" ref="I69:AB69" si="234">SUM(I48+I55+I62)</f>
        <v>43472.33</v>
      </c>
      <c r="J69" s="28">
        <f t="shared" si="234"/>
        <v>32816.25</v>
      </c>
      <c r="K69" s="28">
        <f t="shared" si="234"/>
        <v>44728.490000000005</v>
      </c>
      <c r="L69" s="72">
        <f t="shared" si="234"/>
        <v>62382.32</v>
      </c>
      <c r="M69" s="138">
        <f t="shared" si="234"/>
        <v>115385.65</v>
      </c>
      <c r="N69" s="28">
        <f t="shared" si="234"/>
        <v>213897.46</v>
      </c>
      <c r="O69" s="28">
        <f t="shared" si="234"/>
        <v>231841.03</v>
      </c>
      <c r="P69" s="28">
        <f t="shared" si="234"/>
        <v>422259.57</v>
      </c>
      <c r="Q69" s="28">
        <f t="shared" si="234"/>
        <v>457225.60000000003</v>
      </c>
      <c r="R69" s="28">
        <f t="shared" si="234"/>
        <v>394544.94999999995</v>
      </c>
      <c r="S69" s="28">
        <f t="shared" si="234"/>
        <v>327628.18</v>
      </c>
      <c r="T69" s="28">
        <f t="shared" si="234"/>
        <v>308741.02</v>
      </c>
      <c r="U69" s="28">
        <f t="shared" si="234"/>
        <v>171199.03999999998</v>
      </c>
      <c r="V69" s="28">
        <f t="shared" si="234"/>
        <v>216023.5</v>
      </c>
      <c r="W69" s="28">
        <f t="shared" si="234"/>
        <v>188279.2</v>
      </c>
      <c r="X69" s="72">
        <f t="shared" si="234"/>
        <v>234956.9</v>
      </c>
      <c r="Y69" s="28">
        <f t="shared" si="234"/>
        <v>363464.43</v>
      </c>
      <c r="Z69" s="28">
        <f t="shared" si="234"/>
        <v>655131.94000000006</v>
      </c>
      <c r="AA69" s="28">
        <f t="shared" si="234"/>
        <v>330526.40999999997</v>
      </c>
      <c r="AB69" s="28">
        <f t="shared" si="234"/>
        <v>383668.8</v>
      </c>
      <c r="AC69" s="128">
        <f t="shared" si="204"/>
        <v>350087.12</v>
      </c>
      <c r="AD69" s="128">
        <f t="shared" si="204"/>
        <v>422806.33</v>
      </c>
      <c r="AE69" s="128">
        <f t="shared" si="218"/>
        <v>202254.33000000002</v>
      </c>
      <c r="AF69" s="128">
        <f t="shared" si="218"/>
        <v>195299.45</v>
      </c>
      <c r="AG69" s="128">
        <f t="shared" si="219"/>
        <v>193689.01</v>
      </c>
      <c r="AH69" s="128">
        <f t="shared" si="219"/>
        <v>178248.91</v>
      </c>
      <c r="AI69" s="128">
        <f t="shared" si="219"/>
        <v>150784.08000000002</v>
      </c>
      <c r="AJ69" s="128">
        <f t="shared" si="220"/>
        <v>158642.21000000002</v>
      </c>
      <c r="AK69" s="212">
        <f t="shared" si="220"/>
        <v>121725.15</v>
      </c>
      <c r="AL69" s="128">
        <f t="shared" si="220"/>
        <v>154155.46</v>
      </c>
      <c r="AM69" s="128">
        <f t="shared" si="220"/>
        <v>209092.85</v>
      </c>
      <c r="AN69" s="128">
        <f t="shared" si="220"/>
        <v>221699.91</v>
      </c>
      <c r="AO69" s="128">
        <f>AO62+AO55+AO48</f>
        <v>246932.13999999998</v>
      </c>
      <c r="AP69" s="128">
        <f t="shared" si="206"/>
        <v>469620.47999999998</v>
      </c>
      <c r="AQ69" s="128">
        <f t="shared" si="206"/>
        <v>357895.81</v>
      </c>
      <c r="AR69" s="128">
        <f>AR48+AR55+AR62</f>
        <v>321038.58</v>
      </c>
      <c r="AS69" s="128">
        <f>195192.18+47769.41+28974.61+33951.33</f>
        <v>305887.53000000003</v>
      </c>
      <c r="AT69" s="128">
        <f t="shared" si="207"/>
        <v>305072.24</v>
      </c>
      <c r="AU69" s="128">
        <f t="shared" si="207"/>
        <v>284716.81999999995</v>
      </c>
      <c r="AV69" s="128">
        <f t="shared" si="208"/>
        <v>272658.67</v>
      </c>
      <c r="AW69" s="168">
        <f t="shared" si="208"/>
        <v>275221.7</v>
      </c>
      <c r="AX69" s="104">
        <f t="shared" si="209"/>
        <v>324202.74</v>
      </c>
      <c r="AY69" s="104">
        <f t="shared" si="209"/>
        <v>367265.42000000004</v>
      </c>
      <c r="AZ69" s="104">
        <f t="shared" ref="AZ69:BB69" si="235">AZ48+AZ55+AZ62</f>
        <v>449828.12</v>
      </c>
      <c r="BA69" s="104">
        <f t="shared" si="235"/>
        <v>449302</v>
      </c>
      <c r="BB69" s="104">
        <f t="shared" si="235"/>
        <v>495997.72</v>
      </c>
      <c r="BC69" s="104">
        <f>334793.6+70490.51+75134.92+32089.52</f>
        <v>512508.55</v>
      </c>
      <c r="BD69" s="104">
        <v>457440.27</v>
      </c>
      <c r="BE69" s="104">
        <f t="shared" si="211"/>
        <v>407333.5</v>
      </c>
      <c r="BF69" s="104">
        <f t="shared" si="211"/>
        <v>368880.37</v>
      </c>
      <c r="BG69" s="195">
        <f>SUM(BG48,BG55,BG62)</f>
        <v>371880.71</v>
      </c>
      <c r="BH69" s="195">
        <v>369610.11000000004</v>
      </c>
      <c r="BI69" s="168">
        <f t="shared" ref="BI69:BK69" si="236">BI48+BI55+BI62</f>
        <v>153496.54999999999</v>
      </c>
      <c r="BJ69" s="104">
        <f t="shared" si="236"/>
        <v>170047.28000000003</v>
      </c>
      <c r="BK69" s="104">
        <f t="shared" si="236"/>
        <v>158172.57000000004</v>
      </c>
      <c r="BL69" s="104">
        <f t="shared" ref="BL69:BO69" si="237">BL48+BL55+BL62</f>
        <v>228128.21000000002</v>
      </c>
      <c r="BM69" s="104">
        <f t="shared" si="237"/>
        <v>202369.86000000002</v>
      </c>
      <c r="BN69" s="104">
        <f t="shared" si="237"/>
        <v>26377.239999999962</v>
      </c>
      <c r="BO69" s="104">
        <f t="shared" si="237"/>
        <v>89650.379999999932</v>
      </c>
      <c r="BP69" s="104">
        <f t="shared" ref="BP69:BR69" si="238">BP48+BP55+BP62</f>
        <v>130401.68999999997</v>
      </c>
      <c r="BQ69" s="104">
        <f t="shared" si="238"/>
        <v>101445.96999999999</v>
      </c>
      <c r="BR69" s="104">
        <f t="shared" si="238"/>
        <v>63808.130000000034</v>
      </c>
      <c r="BS69" s="104">
        <f t="shared" ref="BS69:BX69" si="239">BS48+BS55+BS62</f>
        <v>87163.890000000043</v>
      </c>
      <c r="BT69" s="106">
        <f t="shared" si="239"/>
        <v>96951.440000000046</v>
      </c>
      <c r="BU69" s="168">
        <f t="shared" si="239"/>
        <v>385860.27</v>
      </c>
      <c r="BV69" s="104">
        <f t="shared" si="239"/>
        <v>383871.92000000004</v>
      </c>
      <c r="BW69" s="104">
        <f t="shared" si="239"/>
        <v>395463.71</v>
      </c>
      <c r="BX69" s="104">
        <f t="shared" si="239"/>
        <v>407316.8</v>
      </c>
      <c r="BY69" s="104">
        <v>414534</v>
      </c>
      <c r="BZ69" s="104">
        <v>454741.55000000005</v>
      </c>
      <c r="CA69" s="104">
        <f t="shared" ref="CA69:CR69" si="240">CA48+CA55+CA62</f>
        <v>497267.26</v>
      </c>
      <c r="CB69" s="104">
        <f t="shared" si="240"/>
        <v>493138.01999999996</v>
      </c>
      <c r="CC69" s="104">
        <f t="shared" si="240"/>
        <v>437613.38000000006</v>
      </c>
      <c r="CD69" s="104">
        <f t="shared" si="240"/>
        <v>446870.14999999997</v>
      </c>
      <c r="CE69" s="195">
        <f t="shared" si="240"/>
        <v>458809.62999999995</v>
      </c>
      <c r="CF69" s="214">
        <f t="shared" si="240"/>
        <v>0</v>
      </c>
      <c r="CG69" s="168">
        <f t="shared" si="240"/>
        <v>232363.72000000003</v>
      </c>
      <c r="CH69" s="104">
        <f t="shared" si="240"/>
        <v>213824.63999999998</v>
      </c>
      <c r="CI69" s="104">
        <f t="shared" si="240"/>
        <v>237291.13999999998</v>
      </c>
      <c r="CJ69" s="104">
        <f t="shared" si="240"/>
        <v>179188.59</v>
      </c>
      <c r="CK69" s="104">
        <f t="shared" si="240"/>
        <v>212163.94</v>
      </c>
      <c r="CL69" s="104">
        <f t="shared" si="240"/>
        <v>428364.31000000006</v>
      </c>
      <c r="CM69" s="104">
        <f t="shared" si="240"/>
        <v>407616.88000000012</v>
      </c>
      <c r="CN69" s="104">
        <f t="shared" si="240"/>
        <v>362736.33</v>
      </c>
      <c r="CO69" s="104">
        <f t="shared" si="240"/>
        <v>336167.41000000003</v>
      </c>
      <c r="CP69" s="104">
        <f t="shared" si="240"/>
        <v>383062.0199999999</v>
      </c>
      <c r="CQ69" s="104">
        <f t="shared" si="240"/>
        <v>371645.73999999987</v>
      </c>
      <c r="CR69" s="106">
        <f t="shared" si="240"/>
        <v>-96951.440000000046</v>
      </c>
    </row>
    <row r="70" spans="1:96" x14ac:dyDescent="0.25">
      <c r="A70" s="49"/>
      <c r="B70" s="96" t="s">
        <v>38</v>
      </c>
      <c r="C70" s="138">
        <f t="shared" si="202"/>
        <v>0</v>
      </c>
      <c r="D70" s="28">
        <f t="shared" si="202"/>
        <v>17568.169999999998</v>
      </c>
      <c r="E70" s="28">
        <f t="shared" si="202"/>
        <v>15.32</v>
      </c>
      <c r="F70" s="28">
        <f t="shared" si="202"/>
        <v>16898.810000000001</v>
      </c>
      <c r="G70" s="28">
        <f t="shared" si="202"/>
        <v>46.51</v>
      </c>
      <c r="H70" s="28">
        <f>SUM(H49+H56+H63)</f>
        <v>950.14</v>
      </c>
      <c r="I70" s="28">
        <f t="shared" ref="I70:AB70" si="241">SUM(I49+I56+I63)</f>
        <v>947.11</v>
      </c>
      <c r="J70" s="28">
        <f t="shared" si="241"/>
        <v>9.19</v>
      </c>
      <c r="K70" s="28">
        <f t="shared" si="241"/>
        <v>1562.6000000000001</v>
      </c>
      <c r="L70" s="72">
        <f t="shared" si="241"/>
        <v>242.02</v>
      </c>
      <c r="M70" s="138">
        <f t="shared" si="241"/>
        <v>12626.720000000001</v>
      </c>
      <c r="N70" s="28">
        <f t="shared" si="241"/>
        <v>30003.530000000002</v>
      </c>
      <c r="O70" s="28">
        <f t="shared" si="241"/>
        <v>0</v>
      </c>
      <c r="P70" s="28">
        <f t="shared" si="241"/>
        <v>63980.44</v>
      </c>
      <c r="Q70" s="28">
        <f t="shared" si="241"/>
        <v>180095.77</v>
      </c>
      <c r="R70" s="28">
        <f t="shared" si="241"/>
        <v>185388.12</v>
      </c>
      <c r="S70" s="28">
        <f t="shared" si="241"/>
        <v>144647.99</v>
      </c>
      <c r="T70" s="28">
        <f t="shared" si="241"/>
        <v>87200.890000000014</v>
      </c>
      <c r="U70" s="28">
        <f t="shared" si="241"/>
        <v>11399.349999999999</v>
      </c>
      <c r="V70" s="28">
        <f t="shared" si="241"/>
        <v>3175.7700000000004</v>
      </c>
      <c r="W70" s="28">
        <f t="shared" si="241"/>
        <v>43230.84</v>
      </c>
      <c r="X70" s="72">
        <f t="shared" si="241"/>
        <v>16426.810000000001</v>
      </c>
      <c r="Y70" s="28">
        <f t="shared" si="241"/>
        <v>41414.18</v>
      </c>
      <c r="Z70" s="28">
        <f t="shared" si="241"/>
        <v>85993.41</v>
      </c>
      <c r="AA70" s="28">
        <f t="shared" si="241"/>
        <v>446.98</v>
      </c>
      <c r="AB70" s="28">
        <f t="shared" si="241"/>
        <v>53577.47</v>
      </c>
      <c r="AC70" s="128">
        <f t="shared" si="204"/>
        <v>32004.699999999997</v>
      </c>
      <c r="AD70" s="128">
        <f t="shared" si="204"/>
        <v>32004.699999999997</v>
      </c>
      <c r="AE70" s="128">
        <f t="shared" si="218"/>
        <v>36137.620000000003</v>
      </c>
      <c r="AF70" s="128">
        <f t="shared" si="218"/>
        <v>24304.22</v>
      </c>
      <c r="AG70" s="128">
        <f t="shared" si="219"/>
        <v>26229.599999999999</v>
      </c>
      <c r="AH70" s="128">
        <f t="shared" si="219"/>
        <v>12404.05</v>
      </c>
      <c r="AI70" s="128">
        <f t="shared" si="219"/>
        <v>20478.509999999998</v>
      </c>
      <c r="AJ70" s="128">
        <f t="shared" si="220"/>
        <v>14262.880000000001</v>
      </c>
      <c r="AK70" s="212">
        <f t="shared" si="220"/>
        <v>34894.660000000003</v>
      </c>
      <c r="AL70" s="128">
        <f t="shared" si="220"/>
        <v>35962.400000000001</v>
      </c>
      <c r="AM70" s="128">
        <f t="shared" si="220"/>
        <v>15662.95</v>
      </c>
      <c r="AN70" s="128">
        <f t="shared" si="220"/>
        <v>25914.86</v>
      </c>
      <c r="AO70" s="128">
        <f>AO63+AO56+AO49</f>
        <v>0</v>
      </c>
      <c r="AP70" s="128">
        <v>0</v>
      </c>
      <c r="AQ70" s="128">
        <v>0</v>
      </c>
      <c r="AR70" s="128">
        <v>0</v>
      </c>
      <c r="AS70" s="128">
        <v>0</v>
      </c>
      <c r="AT70" s="128">
        <v>0</v>
      </c>
      <c r="AU70" s="128">
        <v>0</v>
      </c>
      <c r="AV70" s="128">
        <f t="shared" si="208"/>
        <v>13843.53</v>
      </c>
      <c r="AW70" s="168">
        <f t="shared" si="208"/>
        <v>22792.29</v>
      </c>
      <c r="AX70" s="104">
        <f t="shared" si="209"/>
        <v>12939.32</v>
      </c>
      <c r="AY70" s="104">
        <f t="shared" si="209"/>
        <v>51764.02</v>
      </c>
      <c r="AZ70" s="104">
        <f t="shared" ref="AZ70:BB70" si="242">AZ49+AZ56+AZ63</f>
        <v>75519.600000000006</v>
      </c>
      <c r="BA70" s="104">
        <f t="shared" si="242"/>
        <v>98338.14</v>
      </c>
      <c r="BB70" s="104">
        <f t="shared" si="242"/>
        <v>98338.14</v>
      </c>
      <c r="BC70" s="104">
        <f>1185.86+13467.71</f>
        <v>14653.57</v>
      </c>
      <c r="BD70" s="104">
        <v>14653.57</v>
      </c>
      <c r="BE70" s="104">
        <v>0</v>
      </c>
      <c r="BF70" s="104">
        <f>BF49+BF56+BF63</f>
        <v>187.71</v>
      </c>
      <c r="BG70" s="195">
        <v>50233</v>
      </c>
      <c r="BH70" s="195">
        <v>57209.55</v>
      </c>
      <c r="BI70" s="168">
        <f t="shared" ref="BI70:BK70" si="243">BI49+BI56+BI63</f>
        <v>-12102.369999999999</v>
      </c>
      <c r="BJ70" s="104">
        <f t="shared" si="243"/>
        <v>-23023.08</v>
      </c>
      <c r="BK70" s="104">
        <f t="shared" si="243"/>
        <v>36101.069999999992</v>
      </c>
      <c r="BL70" s="104">
        <f t="shared" ref="BL70:BO70" si="244">BL49+BL56+BL63</f>
        <v>49604.74</v>
      </c>
      <c r="BM70" s="104">
        <f t="shared" si="244"/>
        <v>98338.14</v>
      </c>
      <c r="BN70" s="104">
        <f t="shared" si="244"/>
        <v>98338.14</v>
      </c>
      <c r="BO70" s="104">
        <f t="shared" si="244"/>
        <v>0</v>
      </c>
      <c r="BP70" s="104">
        <f t="shared" ref="BP70:BR70" si="245">BP49+BP56+BP63</f>
        <v>14653.57</v>
      </c>
      <c r="BQ70" s="104">
        <f t="shared" si="245"/>
        <v>0</v>
      </c>
      <c r="BR70" s="104">
        <f t="shared" si="245"/>
        <v>187.71</v>
      </c>
      <c r="BS70" s="104">
        <f t="shared" ref="BS70:BY70" si="246">BS49+BS56+BS63</f>
        <v>50233.16</v>
      </c>
      <c r="BT70" s="106">
        <f t="shared" si="246"/>
        <v>43366.020000000004</v>
      </c>
      <c r="BU70" s="168">
        <f t="shared" si="246"/>
        <v>57209.55</v>
      </c>
      <c r="BV70" s="104">
        <f t="shared" si="246"/>
        <v>66632.450000000012</v>
      </c>
      <c r="BW70" s="104">
        <f t="shared" si="246"/>
        <v>66375.72</v>
      </c>
      <c r="BX70" s="104">
        <f t="shared" si="246"/>
        <v>0</v>
      </c>
      <c r="BY70" s="104">
        <f t="shared" si="246"/>
        <v>9490.23</v>
      </c>
      <c r="BZ70" s="104">
        <v>118.18</v>
      </c>
      <c r="CA70" s="104">
        <f t="shared" ref="CA70:CR70" si="247">CA49+CA56+CA63</f>
        <v>0</v>
      </c>
      <c r="CB70" s="104">
        <f t="shared" si="247"/>
        <v>6020.5</v>
      </c>
      <c r="CC70" s="104">
        <f t="shared" si="247"/>
        <v>6020.5</v>
      </c>
      <c r="CD70" s="104">
        <f t="shared" si="247"/>
        <v>0</v>
      </c>
      <c r="CE70" s="195">
        <f t="shared" si="247"/>
        <v>5455.08</v>
      </c>
      <c r="CF70" s="214">
        <f t="shared" si="247"/>
        <v>0</v>
      </c>
      <c r="CG70" s="168">
        <f t="shared" si="247"/>
        <v>69311.92</v>
      </c>
      <c r="CH70" s="104">
        <f t="shared" si="247"/>
        <v>89655.53</v>
      </c>
      <c r="CI70" s="104">
        <f t="shared" si="247"/>
        <v>30274.650000000009</v>
      </c>
      <c r="CJ70" s="104">
        <f t="shared" si="247"/>
        <v>-49604.74</v>
      </c>
      <c r="CK70" s="104">
        <f t="shared" si="247"/>
        <v>-88847.91</v>
      </c>
      <c r="CL70" s="104">
        <f t="shared" si="247"/>
        <v>-98219.959999999992</v>
      </c>
      <c r="CM70" s="104">
        <f t="shared" si="247"/>
        <v>0</v>
      </c>
      <c r="CN70" s="104">
        <f t="shared" si="247"/>
        <v>-8633.07</v>
      </c>
      <c r="CO70" s="104">
        <f t="shared" si="247"/>
        <v>6020.5</v>
      </c>
      <c r="CP70" s="104">
        <f t="shared" si="247"/>
        <v>-187.71</v>
      </c>
      <c r="CQ70" s="104">
        <f t="shared" si="247"/>
        <v>-44778.080000000002</v>
      </c>
      <c r="CR70" s="106">
        <f t="shared" si="247"/>
        <v>-43366.020000000004</v>
      </c>
    </row>
    <row r="71" spans="1:96" ht="15.75" thickBot="1" x14ac:dyDescent="0.3">
      <c r="A71" s="49"/>
      <c r="B71" s="115" t="s">
        <v>39</v>
      </c>
      <c r="C71" s="138">
        <f t="shared" ref="C71:AC71" si="248">SUM(C66:C70)</f>
        <v>5129335.42</v>
      </c>
      <c r="D71" s="28">
        <f t="shared" si="248"/>
        <v>5078975.88</v>
      </c>
      <c r="E71" s="28">
        <f t="shared" si="248"/>
        <v>4359546.99</v>
      </c>
      <c r="F71" s="28">
        <f t="shared" si="248"/>
        <v>3829027.89</v>
      </c>
      <c r="G71" s="28">
        <f t="shared" si="248"/>
        <v>3128751.2679999997</v>
      </c>
      <c r="H71" s="28">
        <f t="shared" si="248"/>
        <v>2648820.84</v>
      </c>
      <c r="I71" s="28">
        <f t="shared" si="248"/>
        <v>2271749.8899999997</v>
      </c>
      <c r="J71" s="28">
        <f t="shared" si="248"/>
        <v>2031805.7199999997</v>
      </c>
      <c r="K71" s="28">
        <f t="shared" si="248"/>
        <v>2063767.3000000003</v>
      </c>
      <c r="L71" s="72">
        <f t="shared" si="248"/>
        <v>2552124.9500000002</v>
      </c>
      <c r="M71" s="138">
        <f t="shared" si="248"/>
        <v>3522223.68</v>
      </c>
      <c r="N71" s="28">
        <f t="shared" si="248"/>
        <v>4733144.1500000004</v>
      </c>
      <c r="O71" s="28">
        <f t="shared" si="248"/>
        <v>5383395.3000000007</v>
      </c>
      <c r="P71" s="28">
        <f t="shared" si="248"/>
        <v>6335183.0600000015</v>
      </c>
      <c r="Q71" s="28">
        <f t="shared" si="248"/>
        <v>6963838.1999999993</v>
      </c>
      <c r="R71" s="28">
        <f t="shared" si="248"/>
        <v>6027400.6800000006</v>
      </c>
      <c r="S71" s="28">
        <f t="shared" si="248"/>
        <v>5050459.6800000006</v>
      </c>
      <c r="T71" s="28">
        <f t="shared" si="248"/>
        <v>4980172.13</v>
      </c>
      <c r="U71" s="28">
        <f t="shared" si="248"/>
        <v>4695139.34</v>
      </c>
      <c r="V71" s="28">
        <f t="shared" si="248"/>
        <v>4584580.1000000006</v>
      </c>
      <c r="W71" s="28">
        <f t="shared" si="248"/>
        <v>4764068.209999999</v>
      </c>
      <c r="X71" s="72">
        <f t="shared" si="248"/>
        <v>5173508.13</v>
      </c>
      <c r="Y71" s="28">
        <f t="shared" si="248"/>
        <v>6657558.6099999985</v>
      </c>
      <c r="Z71" s="28">
        <f t="shared" si="248"/>
        <v>9064584.9800000004</v>
      </c>
      <c r="AA71" s="28">
        <f t="shared" si="248"/>
        <v>9325049.790000001</v>
      </c>
      <c r="AB71" s="28">
        <f t="shared" si="248"/>
        <v>10071160.450000003</v>
      </c>
      <c r="AC71" s="28">
        <f t="shared" si="248"/>
        <v>8711706.9100000001</v>
      </c>
      <c r="AD71" s="28">
        <f>SUM(AD66:AD70)</f>
        <v>8798067.1099999994</v>
      </c>
      <c r="AE71" s="28">
        <f>SUM(AE66:AE70)</f>
        <v>8461473.9800000004</v>
      </c>
      <c r="AF71" s="128">
        <f>SUM(AF50+AF57+AF64)</f>
        <v>8119757.5599999996</v>
      </c>
      <c r="AG71" s="128">
        <f t="shared" si="219"/>
        <v>8389704.290000001</v>
      </c>
      <c r="AH71" s="128">
        <f t="shared" si="219"/>
        <v>7023440.0199999996</v>
      </c>
      <c r="AI71" s="128">
        <f t="shared" si="219"/>
        <v>6498346.8000000007</v>
      </c>
      <c r="AJ71" s="128">
        <f t="shared" si="220"/>
        <v>6476375.2299999995</v>
      </c>
      <c r="AK71" s="212">
        <f t="shared" si="220"/>
        <v>6454265.6399999997</v>
      </c>
      <c r="AL71" s="128">
        <f t="shared" si="220"/>
        <v>7126351.7000000002</v>
      </c>
      <c r="AM71" s="128">
        <f t="shared" si="220"/>
        <v>8561204.8599999994</v>
      </c>
      <c r="AN71" s="128">
        <f t="shared" si="220"/>
        <v>10052617.1</v>
      </c>
      <c r="AO71" s="128">
        <f t="shared" ref="AO71:AT71" si="249">SUM(AO66:AO70)</f>
        <v>12793596.859999999</v>
      </c>
      <c r="AP71" s="128">
        <f t="shared" si="249"/>
        <v>15100471.02</v>
      </c>
      <c r="AQ71" s="128">
        <f t="shared" si="249"/>
        <v>14545012.023</v>
      </c>
      <c r="AR71" s="128">
        <f t="shared" si="249"/>
        <v>13626535.780000001</v>
      </c>
      <c r="AS71" s="128">
        <f t="shared" si="249"/>
        <v>8788542.209999999</v>
      </c>
      <c r="AT71" s="128">
        <f t="shared" si="249"/>
        <v>8195243.7999999998</v>
      </c>
      <c r="AU71" s="128">
        <f t="shared" ref="AU71:BB71" si="250">SUM(AU66:AU70)</f>
        <v>7330183.7500000009</v>
      </c>
      <c r="AV71" s="128">
        <f t="shared" si="250"/>
        <v>7530018.1700000009</v>
      </c>
      <c r="AW71" s="168">
        <f t="shared" si="250"/>
        <v>7711032.8399999999</v>
      </c>
      <c r="AX71" s="104">
        <f t="shared" si="250"/>
        <v>8673382.9100000001</v>
      </c>
      <c r="AY71" s="104">
        <f t="shared" si="250"/>
        <v>10060256.92</v>
      </c>
      <c r="AZ71" s="104">
        <f t="shared" si="250"/>
        <v>11865630.159999998</v>
      </c>
      <c r="BA71" s="104">
        <f t="shared" si="250"/>
        <v>15417638.959999999</v>
      </c>
      <c r="BB71" s="104">
        <f t="shared" si="250"/>
        <v>18731919.789999999</v>
      </c>
      <c r="BC71" s="195">
        <f t="shared" ref="BC71:BH71" si="251">SUM(BC66:BC70)</f>
        <v>10472183.350000001</v>
      </c>
      <c r="BD71" s="104">
        <f t="shared" si="251"/>
        <v>17341688.150000002</v>
      </c>
      <c r="BE71" s="104">
        <f t="shared" si="251"/>
        <v>7787535.8500000006</v>
      </c>
      <c r="BF71" s="104">
        <f t="shared" si="251"/>
        <v>7086525.0700000003</v>
      </c>
      <c r="BG71" s="195">
        <f t="shared" si="251"/>
        <v>6712006.7000000002</v>
      </c>
      <c r="BH71" s="195">
        <f t="shared" si="251"/>
        <v>6527534.8199999994</v>
      </c>
      <c r="BI71" s="168">
        <f t="shared" ref="BI71:BK71" si="252">SUM(BI66:BI70)</f>
        <v>1256767.2000000002</v>
      </c>
      <c r="BJ71" s="104">
        <f t="shared" si="252"/>
        <v>1547031.21</v>
      </c>
      <c r="BK71" s="104">
        <f t="shared" si="252"/>
        <v>1499052.0599999996</v>
      </c>
      <c r="BL71" s="104">
        <f t="shared" ref="BL71:BO71" si="253">SUM(BL66:BL70)</f>
        <v>1813013.0599999994</v>
      </c>
      <c r="BM71" s="104">
        <f t="shared" si="253"/>
        <v>2624042.0999999996</v>
      </c>
      <c r="BN71" s="104">
        <f t="shared" si="253"/>
        <v>3631448.77</v>
      </c>
      <c r="BO71" s="104">
        <f t="shared" si="253"/>
        <v>-5035583.5630000001</v>
      </c>
      <c r="BP71" s="104">
        <f t="shared" ref="BP71:BR71" si="254">SUM(BP66:BP70)</f>
        <v>3709150.3699999992</v>
      </c>
      <c r="BQ71" s="104">
        <f t="shared" si="254"/>
        <v>-1328063.5099999988</v>
      </c>
      <c r="BR71" s="104">
        <f t="shared" si="254"/>
        <v>-1108718.7299999988</v>
      </c>
      <c r="BS71" s="104">
        <f t="shared" ref="BS71:BY71" si="255">SUM(BS66:BS70)</f>
        <v>-618176.89000000025</v>
      </c>
      <c r="BT71" s="106">
        <f t="shared" si="255"/>
        <v>-1002483.3500000007</v>
      </c>
      <c r="BU71" s="168">
        <f t="shared" si="255"/>
        <v>6634831.4859999986</v>
      </c>
      <c r="BV71" s="104">
        <f t="shared" si="255"/>
        <v>7129223.0600000005</v>
      </c>
      <c r="BW71" s="104">
        <f t="shared" si="255"/>
        <v>7652793.4999999991</v>
      </c>
      <c r="BX71" s="104">
        <f t="shared" si="255"/>
        <v>7464763.3200000003</v>
      </c>
      <c r="BY71" s="104">
        <f t="shared" si="255"/>
        <v>6879035.7800000012</v>
      </c>
      <c r="BZ71" s="104">
        <v>6247923.2199999988</v>
      </c>
      <c r="CA71" s="195">
        <f t="shared" ref="CA71:CR71" si="256">SUM(CA66:CA70)</f>
        <v>5667525.2400000002</v>
      </c>
      <c r="CB71" s="104">
        <f t="shared" si="256"/>
        <v>4963021.62</v>
      </c>
      <c r="CC71" s="104">
        <f t="shared" si="256"/>
        <v>4874290.4009999996</v>
      </c>
      <c r="CD71" s="104">
        <f t="shared" si="256"/>
        <v>4370999.49</v>
      </c>
      <c r="CE71" s="195">
        <f t="shared" si="256"/>
        <v>3977059.2299999995</v>
      </c>
      <c r="CF71" s="214">
        <f t="shared" si="256"/>
        <v>0</v>
      </c>
      <c r="CG71" s="168">
        <f t="shared" si="256"/>
        <v>5378064.2859999994</v>
      </c>
      <c r="CH71" s="104">
        <f t="shared" si="256"/>
        <v>5582191.8499999996</v>
      </c>
      <c r="CI71" s="104">
        <f t="shared" si="256"/>
        <v>6153741.4400000004</v>
      </c>
      <c r="CJ71" s="104">
        <f t="shared" si="256"/>
        <v>5651750.2599999998</v>
      </c>
      <c r="CK71" s="104">
        <f t="shared" si="256"/>
        <v>4254993.1000000015</v>
      </c>
      <c r="CL71" s="104">
        <f t="shared" si="256"/>
        <v>2616474.4499999993</v>
      </c>
      <c r="CM71" s="104">
        <f t="shared" si="256"/>
        <v>10703108.803000001</v>
      </c>
      <c r="CN71" s="104">
        <f t="shared" si="256"/>
        <v>1253871.2500000005</v>
      </c>
      <c r="CO71" s="104">
        <f t="shared" si="256"/>
        <v>6202353.9109999994</v>
      </c>
      <c r="CP71" s="104">
        <f t="shared" si="256"/>
        <v>5479718.2199999979</v>
      </c>
      <c r="CQ71" s="104">
        <f t="shared" si="256"/>
        <v>4595236.12</v>
      </c>
      <c r="CR71" s="106">
        <f t="shared" si="256"/>
        <v>1002483.3500000007</v>
      </c>
    </row>
    <row r="72" spans="1:96" x14ac:dyDescent="0.25">
      <c r="A72" s="49">
        <f>+A65+1</f>
        <v>10</v>
      </c>
      <c r="B72" s="93" t="s">
        <v>31</v>
      </c>
      <c r="C72" s="149"/>
      <c r="D72" s="116"/>
      <c r="E72" s="116"/>
      <c r="F72" s="116"/>
      <c r="G72" s="116"/>
      <c r="H72" s="116"/>
      <c r="I72" s="116"/>
      <c r="J72" s="116"/>
      <c r="K72" s="116"/>
      <c r="L72" s="117"/>
      <c r="M72" s="149"/>
      <c r="N72" s="116"/>
      <c r="O72" s="116"/>
      <c r="P72" s="116"/>
      <c r="Q72" s="116"/>
      <c r="R72" s="116"/>
      <c r="S72" s="116"/>
      <c r="T72" s="116"/>
      <c r="U72" s="116"/>
      <c r="V72" s="116"/>
      <c r="W72" s="116"/>
      <c r="X72" s="117"/>
      <c r="Y72" s="116"/>
      <c r="Z72" s="116"/>
      <c r="AA72" s="116"/>
      <c r="AB72" s="116"/>
      <c r="AC72" s="116"/>
      <c r="AD72" s="116"/>
      <c r="AE72" s="116"/>
      <c r="AF72" s="116"/>
      <c r="AG72" s="116"/>
      <c r="AH72" s="116"/>
      <c r="AI72" s="116"/>
      <c r="AJ72" s="116"/>
      <c r="AK72" s="149"/>
      <c r="AL72" s="116"/>
      <c r="AM72" s="116"/>
      <c r="AN72" s="116"/>
      <c r="AO72" s="116"/>
      <c r="AP72" s="116"/>
      <c r="AQ72" s="116"/>
      <c r="AR72" s="116"/>
      <c r="AS72" s="116"/>
      <c r="AT72" s="116"/>
      <c r="AU72" s="116"/>
      <c r="AV72" s="116"/>
      <c r="AW72" s="164"/>
      <c r="AX72" s="94"/>
      <c r="AY72" s="94"/>
      <c r="AZ72" s="94"/>
      <c r="BA72" s="94"/>
      <c r="BB72" s="94"/>
      <c r="BC72" s="94"/>
      <c r="BD72" s="94"/>
      <c r="BE72" s="94"/>
      <c r="BF72" s="94"/>
      <c r="BG72" s="94"/>
      <c r="BH72" s="95"/>
      <c r="BI72" s="164"/>
      <c r="BJ72" s="94"/>
      <c r="BK72" s="94"/>
      <c r="BL72" s="94"/>
      <c r="BM72" s="94"/>
      <c r="BN72" s="94"/>
      <c r="BO72" s="94"/>
      <c r="BP72" s="94"/>
      <c r="BQ72" s="94"/>
      <c r="BR72" s="94"/>
      <c r="BS72" s="94"/>
      <c r="BT72" s="95"/>
      <c r="BU72" s="164"/>
      <c r="BV72" s="94"/>
      <c r="BW72" s="94"/>
      <c r="BX72" s="94"/>
      <c r="BY72" s="94"/>
      <c r="BZ72" s="94"/>
      <c r="CA72" s="94"/>
      <c r="CB72" s="94"/>
      <c r="CC72" s="94"/>
      <c r="CD72" s="94"/>
      <c r="CE72" s="94"/>
      <c r="CF72" s="95"/>
      <c r="CG72" s="164"/>
      <c r="CH72" s="94"/>
      <c r="CI72" s="94"/>
      <c r="CJ72" s="94"/>
      <c r="CK72" s="94"/>
      <c r="CL72" s="94"/>
      <c r="CM72" s="94"/>
      <c r="CN72" s="94"/>
      <c r="CO72" s="94"/>
      <c r="CP72" s="94"/>
      <c r="CQ72" s="94"/>
      <c r="CR72" s="95"/>
    </row>
    <row r="73" spans="1:96" x14ac:dyDescent="0.25">
      <c r="A73" s="49"/>
      <c r="B73" s="96" t="s">
        <v>34</v>
      </c>
      <c r="C73" s="139">
        <v>5366874</v>
      </c>
      <c r="D73" s="84">
        <v>3843919</v>
      </c>
      <c r="E73" s="84">
        <v>2029240</v>
      </c>
      <c r="F73" s="84">
        <v>1280398</v>
      </c>
      <c r="G73" s="84">
        <v>760851</v>
      </c>
      <c r="H73" s="84">
        <v>653524</v>
      </c>
      <c r="I73" s="84">
        <v>677153</v>
      </c>
      <c r="J73" s="84">
        <v>800554</v>
      </c>
      <c r="K73" s="84">
        <v>2207554</v>
      </c>
      <c r="L73" s="140">
        <v>4164660</v>
      </c>
      <c r="M73" s="139">
        <v>5561927</v>
      </c>
      <c r="N73" s="84">
        <v>4805071</v>
      </c>
      <c r="O73" s="84">
        <v>4322498</v>
      </c>
      <c r="P73" s="84">
        <f>27905+3084147+10169+359794+5524+16802</f>
        <v>3504341</v>
      </c>
      <c r="Q73" s="84">
        <f>26163+2581468+8610+282457+5653+14216</f>
        <v>2918567</v>
      </c>
      <c r="R73" s="84">
        <f>18437+1011410+6791+122311+2243+7157</f>
        <v>1168349</v>
      </c>
      <c r="S73" s="84">
        <f>14522+630257+5955+82322+1520+5076</f>
        <v>739652</v>
      </c>
      <c r="T73" s="84">
        <f>14719+626732+4899+59754+1576+5111</f>
        <v>712791</v>
      </c>
      <c r="U73" s="84">
        <f>14770+603454+4629+45781+1515+5168</f>
        <v>675317</v>
      </c>
      <c r="V73" s="84">
        <f>17940+820582+6183+89015+2056+6619</f>
        <v>942395</v>
      </c>
      <c r="W73" s="84">
        <f>21974+1620601+6970+189690+2958+10994</f>
        <v>1853187</v>
      </c>
      <c r="X73" s="140">
        <f>25683+2946769+7452+245551+4880+17495</f>
        <v>3247830</v>
      </c>
      <c r="Y73" s="84">
        <f>33038+4927478+11868+600235+8935+25417</f>
        <v>5606971</v>
      </c>
      <c r="Z73" s="84">
        <f>29898+4951954+9163+528924+7862+23607</f>
        <v>5551408</v>
      </c>
      <c r="AA73" s="84">
        <f>29650+4580673+9290+531323+21696</f>
        <v>5172632</v>
      </c>
      <c r="AB73" s="84">
        <f>25671+3108773+9552+410828+5849+15478</f>
        <v>3576151</v>
      </c>
      <c r="AC73" s="84">
        <v>2105491</v>
      </c>
      <c r="AD73" s="84">
        <f>24848+1079309+8662</f>
        <v>1112819</v>
      </c>
      <c r="AE73" s="84">
        <f>18157+680448+5429</f>
        <v>704034</v>
      </c>
      <c r="AF73" s="84">
        <f>20827+741254+6919</f>
        <v>769000</v>
      </c>
      <c r="AG73" s="84">
        <f>19605+668203+6575</f>
        <v>694383</v>
      </c>
      <c r="AH73" s="84">
        <f>21347+716169+7342</f>
        <v>744858</v>
      </c>
      <c r="AI73" s="84">
        <f>26808+1485089+12908</f>
        <v>1524805</v>
      </c>
      <c r="AJ73" s="84">
        <f>36126+3578422+23569</f>
        <v>3638117</v>
      </c>
      <c r="AK73" s="139">
        <f>45116+5148410+31817</f>
        <v>5225343</v>
      </c>
      <c r="AL73" s="70">
        <f>45813+5950197+35597</f>
        <v>6031607</v>
      </c>
      <c r="AM73" s="84">
        <f>40453+4615235+26333</f>
        <v>4682021</v>
      </c>
      <c r="AN73" s="84">
        <f>42712+3756588+25172</f>
        <v>3824472</v>
      </c>
      <c r="AO73" s="84">
        <f>27387+1856857+13865</f>
        <v>1898109</v>
      </c>
      <c r="AP73" s="84">
        <f>SUM(23639,1000029,8097)</f>
        <v>1031765</v>
      </c>
      <c r="AQ73" s="84">
        <f>21421+746081+6962</f>
        <v>774464</v>
      </c>
      <c r="AR73" s="84">
        <f>17123+593784+5479</f>
        <v>616386</v>
      </c>
      <c r="AS73" s="84">
        <f>20312+679840+6684</f>
        <v>706836</v>
      </c>
      <c r="AT73" s="84">
        <f>22110+831844+9020</f>
        <v>862974</v>
      </c>
      <c r="AU73" s="84">
        <f>26675+1335424+12271</f>
        <v>1374370</v>
      </c>
      <c r="AV73" s="84">
        <f>39736+3355732+22408</f>
        <v>3417876</v>
      </c>
      <c r="AW73" s="165">
        <f>49497+4816579+30699</f>
        <v>4896775</v>
      </c>
      <c r="AX73" s="100">
        <f>48652+4627817+30386</f>
        <v>4706855</v>
      </c>
      <c r="AY73" s="100">
        <f>44973+4346376+28450</f>
        <v>4419799</v>
      </c>
      <c r="AZ73" s="100">
        <f>SUM(39048+3278649+22759)</f>
        <v>3340456</v>
      </c>
      <c r="BA73" s="100">
        <v>1511496</v>
      </c>
      <c r="BB73" s="100">
        <f>SUM(26321+1048458+9907)</f>
        <v>1084686</v>
      </c>
      <c r="BC73" s="100">
        <f>SUM(21112+777131+8390)</f>
        <v>806633</v>
      </c>
      <c r="BD73" s="100">
        <f>(15817+572518+5600)</f>
        <v>593935</v>
      </c>
      <c r="BE73" s="100">
        <f>20234+688446+7024</f>
        <v>715704</v>
      </c>
      <c r="BF73" s="100">
        <f>19354+732328+8260</f>
        <v>759942</v>
      </c>
      <c r="BG73" s="100">
        <f>28008+1655683+14715</f>
        <v>1698406</v>
      </c>
      <c r="BH73" s="100">
        <v>3525400</v>
      </c>
      <c r="BI73" s="165">
        <f t="shared" ref="BI73:BI78" si="257">AW73-AK73</f>
        <v>-328568</v>
      </c>
      <c r="BJ73" s="100">
        <f t="shared" ref="BJ73:BJ78" si="258">AX73-AL73</f>
        <v>-1324752</v>
      </c>
      <c r="BK73" s="100">
        <f t="shared" ref="BK73:BK78" si="259">AY73-AM73</f>
        <v>-262222</v>
      </c>
      <c r="BL73" s="100">
        <f t="shared" ref="BL73:BO78" si="260">AZ73-AN73</f>
        <v>-484016</v>
      </c>
      <c r="BM73" s="100">
        <f t="shared" si="260"/>
        <v>-386613</v>
      </c>
      <c r="BN73" s="100">
        <f t="shared" si="260"/>
        <v>52921</v>
      </c>
      <c r="BO73" s="100">
        <f t="shared" si="260"/>
        <v>32169</v>
      </c>
      <c r="BP73" s="100">
        <f t="shared" ref="BP73:BP78" si="261">BD73-AR73</f>
        <v>-22451</v>
      </c>
      <c r="BQ73" s="100">
        <f t="shared" ref="BQ73:BQ78" si="262">BE73-AS73</f>
        <v>8868</v>
      </c>
      <c r="BR73" s="100">
        <f t="shared" ref="BR73:BT78" si="263">BF73-AT73</f>
        <v>-103032</v>
      </c>
      <c r="BS73" s="100">
        <f t="shared" si="263"/>
        <v>324036</v>
      </c>
      <c r="BT73" s="200">
        <f t="shared" si="263"/>
        <v>107524</v>
      </c>
      <c r="BU73" s="165">
        <f>47522+4455001+30109</f>
        <v>4532632</v>
      </c>
      <c r="BV73" s="100">
        <f>51816+5197790+33324</f>
        <v>5282930</v>
      </c>
      <c r="BW73" s="100">
        <v>4387068</v>
      </c>
      <c r="BX73" s="100">
        <f>50933+3382978+24717</f>
        <v>3458628</v>
      </c>
      <c r="BY73" s="100">
        <f>31216+2108298+15858</f>
        <v>2155372</v>
      </c>
      <c r="BZ73" s="100">
        <v>1057190</v>
      </c>
      <c r="CA73" s="100">
        <v>692795</v>
      </c>
      <c r="CB73" s="100">
        <v>678950</v>
      </c>
      <c r="CC73" s="100">
        <v>680478</v>
      </c>
      <c r="CD73" s="100">
        <v>802025</v>
      </c>
      <c r="CE73" s="100">
        <v>1712690</v>
      </c>
      <c r="CF73" s="200"/>
      <c r="CG73" s="165">
        <f t="shared" ref="CG73:CG78" si="264">BU73-BI73</f>
        <v>4861200</v>
      </c>
      <c r="CH73" s="100">
        <f t="shared" ref="CH73:CH78" si="265">BV73-BJ73</f>
        <v>6607682</v>
      </c>
      <c r="CI73" s="100">
        <f t="shared" ref="CI73:CI78" si="266">BW73-BK73</f>
        <v>4649290</v>
      </c>
      <c r="CJ73" s="100">
        <f t="shared" ref="CJ73:CJ78" si="267">BX73-BL73</f>
        <v>3942644</v>
      </c>
      <c r="CK73" s="100">
        <f t="shared" ref="CK73:CK78" si="268">BY73-BM73</f>
        <v>2541985</v>
      </c>
      <c r="CL73" s="100">
        <f t="shared" ref="CL73:CL78" si="269">BZ73-BN73</f>
        <v>1004269</v>
      </c>
      <c r="CM73" s="100">
        <f t="shared" ref="CM73:CM78" si="270">CA73-BO73</f>
        <v>660626</v>
      </c>
      <c r="CN73" s="100">
        <f t="shared" ref="CN73:CN78" si="271">CB73-BP73</f>
        <v>701401</v>
      </c>
      <c r="CO73" s="100">
        <f t="shared" ref="CO73:CO78" si="272">CC73-BQ73</f>
        <v>671610</v>
      </c>
      <c r="CP73" s="100">
        <f t="shared" ref="CP73:CP78" si="273">CD73-BR73</f>
        <v>905057</v>
      </c>
      <c r="CQ73" s="100">
        <f t="shared" ref="CQ73:CQ78" si="274">CE73-BS73</f>
        <v>1388654</v>
      </c>
      <c r="CR73" s="200">
        <f t="shared" ref="CR73:CR78" si="275">CF73-BT73</f>
        <v>-107524</v>
      </c>
    </row>
    <row r="74" spans="1:96" x14ac:dyDescent="0.25">
      <c r="A74" s="49"/>
      <c r="B74" s="96" t="s">
        <v>35</v>
      </c>
      <c r="C74" s="139">
        <v>1296596</v>
      </c>
      <c r="D74" s="84">
        <v>900416</v>
      </c>
      <c r="E74" s="84">
        <v>501599</v>
      </c>
      <c r="F74" s="84">
        <v>292243</v>
      </c>
      <c r="G74" s="84">
        <v>164728</v>
      </c>
      <c r="H74" s="84">
        <v>147819</v>
      </c>
      <c r="I74" s="84">
        <v>158035</v>
      </c>
      <c r="J74" s="84">
        <v>211099</v>
      </c>
      <c r="K74" s="84">
        <v>595112</v>
      </c>
      <c r="L74" s="140">
        <v>1032468</v>
      </c>
      <c r="M74" s="139">
        <v>1345041</v>
      </c>
      <c r="N74" s="84">
        <v>1128913</v>
      </c>
      <c r="O74" s="84">
        <v>1047081</v>
      </c>
      <c r="P74" s="84">
        <f>4526+546+839005+16115</f>
        <v>860192</v>
      </c>
      <c r="Q74" s="84">
        <f>4174+683194+679+13645</f>
        <v>701692</v>
      </c>
      <c r="R74" s="84">
        <f>2809+245005+459+5849</f>
        <v>254122</v>
      </c>
      <c r="S74" s="84">
        <f>2058+147576+449+3377</f>
        <v>153460</v>
      </c>
      <c r="T74" s="84">
        <f>2160+151558+395+3106</f>
        <v>157219</v>
      </c>
      <c r="U74" s="84">
        <f>2278+154941+398+2851</f>
        <v>160468</v>
      </c>
      <c r="V74" s="84">
        <f>2788+221210+484+4320</f>
        <v>228802</v>
      </c>
      <c r="W74" s="84">
        <f>3690+456289+607+9731</f>
        <v>470317</v>
      </c>
      <c r="X74" s="140">
        <f>4593+636+820235+11618</f>
        <v>837082</v>
      </c>
      <c r="Y74" s="84">
        <f>6177+1269254+763+26617</f>
        <v>1302811</v>
      </c>
      <c r="Z74" s="84">
        <f>5452+1271075+1312+24665</f>
        <v>1302504</v>
      </c>
      <c r="AA74" s="84">
        <f>4906+1134059+1032+25985</f>
        <v>1165982</v>
      </c>
      <c r="AB74" s="84">
        <f>4064+729201+996+20447</f>
        <v>754708</v>
      </c>
      <c r="AC74" s="70">
        <v>508790</v>
      </c>
      <c r="AD74" s="70">
        <f>2160+198828</f>
        <v>200988</v>
      </c>
      <c r="AE74" s="70">
        <f>1431+115712</f>
        <v>117143</v>
      </c>
      <c r="AF74" s="70">
        <f>2480+179773</f>
        <v>182253</v>
      </c>
      <c r="AG74" s="70">
        <f>2262+151048</f>
        <v>153310</v>
      </c>
      <c r="AH74" s="70">
        <f>2189+173912</f>
        <v>176101</v>
      </c>
      <c r="AI74" s="70">
        <f>3077+415925</f>
        <v>419002</v>
      </c>
      <c r="AJ74" s="70">
        <f>4263+864501</f>
        <v>868764</v>
      </c>
      <c r="AK74" s="145">
        <f>4336+1214201</f>
        <v>1218537</v>
      </c>
      <c r="AL74" s="70">
        <f>4866+1372916</f>
        <v>1377782</v>
      </c>
      <c r="AM74" s="70">
        <f>4322+1077700</f>
        <v>1082022</v>
      </c>
      <c r="AN74" s="70">
        <f>5720+964399</f>
        <v>970119</v>
      </c>
      <c r="AO74" s="70">
        <f>3727+483015</f>
        <v>486742</v>
      </c>
      <c r="AP74" s="70">
        <f>SUM(3170,217765)</f>
        <v>220935</v>
      </c>
      <c r="AQ74" s="70">
        <f>2579+180898</f>
        <v>183477</v>
      </c>
      <c r="AR74" s="70">
        <f>1948+142130</f>
        <v>144078</v>
      </c>
      <c r="AS74" s="70">
        <f>2948+187135</f>
        <v>190083</v>
      </c>
      <c r="AT74" s="70">
        <f>2747+239592</f>
        <v>242339</v>
      </c>
      <c r="AU74" s="70">
        <f>3170+375922</f>
        <v>379092</v>
      </c>
      <c r="AV74" s="70">
        <f>4659+874414</f>
        <v>879073</v>
      </c>
      <c r="AW74" s="165">
        <f>6732+1271226</f>
        <v>1277958</v>
      </c>
      <c r="AX74" s="100">
        <f>5923+1249984</f>
        <v>1255907</v>
      </c>
      <c r="AY74" s="100">
        <f>5908+1156172</f>
        <v>1162080</v>
      </c>
      <c r="AZ74" s="100">
        <f>SUM(6428+892202)</f>
        <v>898630</v>
      </c>
      <c r="BA74" s="100">
        <v>434681</v>
      </c>
      <c r="BB74" s="100">
        <f>SUM(4092+273980)</f>
        <v>278072</v>
      </c>
      <c r="BC74" s="100">
        <f>SUM(3467+198991)</f>
        <v>202458</v>
      </c>
      <c r="BD74" s="100">
        <f>(286+15481)</f>
        <v>15767</v>
      </c>
      <c r="BE74" s="100">
        <f>3413+197909</f>
        <v>201322</v>
      </c>
      <c r="BF74" s="100">
        <f>3751+221067</f>
        <v>224818</v>
      </c>
      <c r="BG74" s="100">
        <f>6017+541317</f>
        <v>547334</v>
      </c>
      <c r="BH74" s="100">
        <v>958064</v>
      </c>
      <c r="BI74" s="165">
        <f t="shared" si="257"/>
        <v>59421</v>
      </c>
      <c r="BJ74" s="100">
        <f t="shared" si="258"/>
        <v>-121875</v>
      </c>
      <c r="BK74" s="100">
        <f t="shared" si="259"/>
        <v>80058</v>
      </c>
      <c r="BL74" s="100">
        <f t="shared" si="260"/>
        <v>-71489</v>
      </c>
      <c r="BM74" s="100">
        <f t="shared" si="260"/>
        <v>-52061</v>
      </c>
      <c r="BN74" s="100">
        <f t="shared" si="260"/>
        <v>57137</v>
      </c>
      <c r="BO74" s="100">
        <f t="shared" si="260"/>
        <v>18981</v>
      </c>
      <c r="BP74" s="100">
        <f t="shared" si="261"/>
        <v>-128311</v>
      </c>
      <c r="BQ74" s="100">
        <f t="shared" si="262"/>
        <v>11239</v>
      </c>
      <c r="BR74" s="100">
        <f t="shared" si="263"/>
        <v>-17521</v>
      </c>
      <c r="BS74" s="100">
        <f t="shared" si="263"/>
        <v>168242</v>
      </c>
      <c r="BT74" s="200">
        <f t="shared" si="263"/>
        <v>78991</v>
      </c>
      <c r="BU74" s="165">
        <f>10108+1255723</f>
        <v>1265831</v>
      </c>
      <c r="BV74" s="100">
        <f>11264+1444015</f>
        <v>1455279</v>
      </c>
      <c r="BW74" s="100">
        <v>1153527</v>
      </c>
      <c r="BX74" s="100">
        <f>9207+998967</f>
        <v>1008174</v>
      </c>
      <c r="BY74" s="100">
        <f>7424+615205</f>
        <v>622629</v>
      </c>
      <c r="BZ74" s="100">
        <v>258730</v>
      </c>
      <c r="CA74" s="100">
        <v>173400</v>
      </c>
      <c r="CB74" s="100">
        <v>163470</v>
      </c>
      <c r="CC74" s="100">
        <v>171206</v>
      </c>
      <c r="CD74" s="100">
        <v>190011</v>
      </c>
      <c r="CE74" s="100">
        <v>423683</v>
      </c>
      <c r="CF74" s="200"/>
      <c r="CG74" s="165">
        <f t="shared" si="264"/>
        <v>1206410</v>
      </c>
      <c r="CH74" s="100">
        <f t="shared" si="265"/>
        <v>1577154</v>
      </c>
      <c r="CI74" s="100">
        <f t="shared" si="266"/>
        <v>1073469</v>
      </c>
      <c r="CJ74" s="100">
        <f t="shared" si="267"/>
        <v>1079663</v>
      </c>
      <c r="CK74" s="100">
        <f t="shared" si="268"/>
        <v>674690</v>
      </c>
      <c r="CL74" s="100">
        <f t="shared" si="269"/>
        <v>201593</v>
      </c>
      <c r="CM74" s="100">
        <f t="shared" si="270"/>
        <v>154419</v>
      </c>
      <c r="CN74" s="100">
        <f t="shared" si="271"/>
        <v>291781</v>
      </c>
      <c r="CO74" s="100">
        <f t="shared" si="272"/>
        <v>159967</v>
      </c>
      <c r="CP74" s="100">
        <f t="shared" si="273"/>
        <v>207532</v>
      </c>
      <c r="CQ74" s="100">
        <f t="shared" si="274"/>
        <v>255441</v>
      </c>
      <c r="CR74" s="200">
        <f t="shared" si="275"/>
        <v>-78991</v>
      </c>
    </row>
    <row r="75" spans="1:96" x14ac:dyDescent="0.25">
      <c r="A75" s="49"/>
      <c r="B75" s="96" t="s">
        <v>36</v>
      </c>
      <c r="C75" s="139">
        <v>1160981</v>
      </c>
      <c r="D75" s="84">
        <v>753929</v>
      </c>
      <c r="E75" s="84">
        <v>392329</v>
      </c>
      <c r="F75" s="84">
        <v>254003</v>
      </c>
      <c r="G75" s="84">
        <v>139772</v>
      </c>
      <c r="H75" s="84">
        <v>109583</v>
      </c>
      <c r="I75" s="84">
        <v>130036</v>
      </c>
      <c r="J75" s="84">
        <v>168747</v>
      </c>
      <c r="K75" s="84">
        <v>419539</v>
      </c>
      <c r="L75" s="140">
        <v>864360</v>
      </c>
      <c r="M75" s="139">
        <v>1233580</v>
      </c>
      <c r="N75" s="84">
        <v>1032346</v>
      </c>
      <c r="O75" s="84">
        <v>904553</v>
      </c>
      <c r="P75" s="84">
        <f>401861+64454+106802+24532+56545+9762+4348+828</f>
        <v>669132</v>
      </c>
      <c r="Q75" s="84">
        <f>282626+62041+71264+18624+48890+10616+3196+706</f>
        <v>497963</v>
      </c>
      <c r="R75" s="84">
        <f>57728+46972+20450+16231+17215+7017+950+607</f>
        <v>167170</v>
      </c>
      <c r="S75" s="84">
        <f>38864+43892+3421+16447+10526+5695-1765+599</f>
        <v>117679</v>
      </c>
      <c r="T75" s="84">
        <f>42200+51761+4878+15179+9162+4927+359+531</f>
        <v>128997</v>
      </c>
      <c r="U75" s="84">
        <f>37174+59811+1227+14458+10559+4883+378+478</f>
        <v>128968</v>
      </c>
      <c r="V75" s="84">
        <f>54371+58702+9751+18708+17985+7299+732+575</f>
        <v>168123</v>
      </c>
      <c r="W75" s="84">
        <f>166686+61665+43200+19663+31833+9220+1428+734+6085</f>
        <v>340514</v>
      </c>
      <c r="X75" s="140">
        <f>374868+67287+67773+20186+59905+11327+3065+814</f>
        <v>605225</v>
      </c>
      <c r="Y75" s="84">
        <f>687484+109726+207042+33163+97422+16821+8199+1824</f>
        <v>1161681</v>
      </c>
      <c r="Z75" s="84">
        <f>747702+114035+190001+29332+95874+14234+11444+1596</f>
        <v>1204218</v>
      </c>
      <c r="AA75" s="84">
        <f>647129+97755+203522+28867+86984+14135+8481+1393</f>
        <v>1088266</v>
      </c>
      <c r="AB75" s="84">
        <f>361748+84536+132867+30278+58905+12252+6802+1007</f>
        <v>688395</v>
      </c>
      <c r="AC75" s="84">
        <v>388072</v>
      </c>
      <c r="AD75" s="84">
        <f>86053+77296+18550+8055</f>
        <v>189954</v>
      </c>
      <c r="AE75" s="84">
        <f>39976+64501+13786+5938</f>
        <v>124201</v>
      </c>
      <c r="AF75" s="84">
        <f>44537+77905+10663+6814</f>
        <v>139919</v>
      </c>
      <c r="AG75" s="84">
        <f>46834+73066+10455+6361</f>
        <v>136716</v>
      </c>
      <c r="AH75" s="84">
        <f>47287+73324+14982+7544</f>
        <v>143137</v>
      </c>
      <c r="AI75" s="84">
        <f>164049+84640+31506+10847</f>
        <v>291042</v>
      </c>
      <c r="AJ75" s="84">
        <f>517067+107834+62219+14095</f>
        <v>701215</v>
      </c>
      <c r="AK75" s="139">
        <f>883839+133144+95900+19587</f>
        <v>1132470</v>
      </c>
      <c r="AL75" s="70">
        <f>1084757+143408+105568+18742</f>
        <v>1352475</v>
      </c>
      <c r="AM75" s="84">
        <f>842692+116245+78241+17711</f>
        <v>1054889</v>
      </c>
      <c r="AN75" s="84">
        <f>581896+123697+67289+18615</f>
        <v>791497</v>
      </c>
      <c r="AO75" s="84">
        <f>237138+83826+32994+8326</f>
        <v>362284</v>
      </c>
      <c r="AP75" s="84">
        <f>SUM(113095,79689,16878,10307)</f>
        <v>219969</v>
      </c>
      <c r="AQ75" s="84">
        <f>43820+75858+13637+5667</f>
        <v>138982</v>
      </c>
      <c r="AR75" s="84">
        <f>50980+63636+9522+6822</f>
        <v>130960</v>
      </c>
      <c r="AS75" s="84">
        <f>43259+77958+10824+12535</f>
        <v>144576</v>
      </c>
      <c r="AT75" s="84">
        <f>104918+75886+17846+6480</f>
        <v>205130</v>
      </c>
      <c r="AU75" s="84">
        <f>158970+83141+27735+11297</f>
        <v>281143</v>
      </c>
      <c r="AV75" s="84">
        <f>505962+109264+61299+35124</f>
        <v>711649</v>
      </c>
      <c r="AW75" s="165">
        <f>840023+130516+88739+23482</f>
        <v>1082760</v>
      </c>
      <c r="AX75" s="100">
        <f>854937+129609+93675+44347</f>
        <v>1122568</v>
      </c>
      <c r="AY75" s="100">
        <f>768504+122539+84084+25839</f>
        <v>1000966</v>
      </c>
      <c r="AZ75" s="100">
        <f>SUM(569111+112117+61141+19699)</f>
        <v>762068</v>
      </c>
      <c r="BA75" s="100">
        <v>330775</v>
      </c>
      <c r="BB75" s="100">
        <f>SUM(114195+84497+20287+15227)</f>
        <v>234206</v>
      </c>
      <c r="BC75" s="100">
        <f>SUM(75691+80837+12334+10324)</f>
        <v>179186</v>
      </c>
      <c r="BD75" s="100">
        <f>(5302+6255+826+680)</f>
        <v>13063</v>
      </c>
      <c r="BE75" s="100">
        <f>50295+77876+12720+9240</f>
        <v>150131</v>
      </c>
      <c r="BF75" s="100">
        <f>63714+71613+15805+11027</f>
        <v>162159</v>
      </c>
      <c r="BG75" s="100">
        <f>212372+88058+37024+18074</f>
        <v>355528</v>
      </c>
      <c r="BH75" s="100">
        <v>748279</v>
      </c>
      <c r="BI75" s="165">
        <f t="shared" si="257"/>
        <v>-49710</v>
      </c>
      <c r="BJ75" s="100">
        <f t="shared" si="258"/>
        <v>-229907</v>
      </c>
      <c r="BK75" s="100">
        <f t="shared" si="259"/>
        <v>-53923</v>
      </c>
      <c r="BL75" s="100">
        <f t="shared" si="260"/>
        <v>-29429</v>
      </c>
      <c r="BM75" s="100">
        <f t="shared" si="260"/>
        <v>-31509</v>
      </c>
      <c r="BN75" s="100">
        <f t="shared" si="260"/>
        <v>14237</v>
      </c>
      <c r="BO75" s="100">
        <f t="shared" si="260"/>
        <v>40204</v>
      </c>
      <c r="BP75" s="100">
        <f t="shared" si="261"/>
        <v>-117897</v>
      </c>
      <c r="BQ75" s="100">
        <f t="shared" si="262"/>
        <v>5555</v>
      </c>
      <c r="BR75" s="100">
        <f t="shared" si="263"/>
        <v>-42971</v>
      </c>
      <c r="BS75" s="100">
        <f t="shared" si="263"/>
        <v>74385</v>
      </c>
      <c r="BT75" s="200">
        <f t="shared" si="263"/>
        <v>36630</v>
      </c>
      <c r="BU75" s="165">
        <f>783334+122847+123527+30097</f>
        <v>1059805</v>
      </c>
      <c r="BV75" s="100">
        <f>978932+137377+117346+25247</f>
        <v>1258902</v>
      </c>
      <c r="BW75" s="100">
        <v>1061330</v>
      </c>
      <c r="BX75" s="100">
        <f>603859+113827+77996+14565</f>
        <v>810247</v>
      </c>
      <c r="BY75" s="100">
        <f>317488+107059+48654+16565</f>
        <v>489766</v>
      </c>
      <c r="BZ75" s="100">
        <v>231197</v>
      </c>
      <c r="CA75" s="100">
        <v>167834</v>
      </c>
      <c r="CB75" s="100">
        <v>160085</v>
      </c>
      <c r="CC75" s="100">
        <v>143558</v>
      </c>
      <c r="CD75" s="100">
        <v>199091</v>
      </c>
      <c r="CE75" s="100">
        <v>346828</v>
      </c>
      <c r="CF75" s="200"/>
      <c r="CG75" s="165">
        <f t="shared" si="264"/>
        <v>1109515</v>
      </c>
      <c r="CH75" s="100">
        <f t="shared" si="265"/>
        <v>1488809</v>
      </c>
      <c r="CI75" s="100">
        <f t="shared" si="266"/>
        <v>1115253</v>
      </c>
      <c r="CJ75" s="100">
        <f t="shared" si="267"/>
        <v>839676</v>
      </c>
      <c r="CK75" s="100">
        <f t="shared" si="268"/>
        <v>521275</v>
      </c>
      <c r="CL75" s="100">
        <f t="shared" si="269"/>
        <v>216960</v>
      </c>
      <c r="CM75" s="100">
        <f t="shared" si="270"/>
        <v>127630</v>
      </c>
      <c r="CN75" s="100">
        <f t="shared" si="271"/>
        <v>277982</v>
      </c>
      <c r="CO75" s="100">
        <f t="shared" si="272"/>
        <v>138003</v>
      </c>
      <c r="CP75" s="100">
        <f t="shared" si="273"/>
        <v>242062</v>
      </c>
      <c r="CQ75" s="100">
        <f t="shared" si="274"/>
        <v>272443</v>
      </c>
      <c r="CR75" s="200">
        <f t="shared" si="275"/>
        <v>-36630</v>
      </c>
    </row>
    <row r="76" spans="1:96" x14ac:dyDescent="0.25">
      <c r="A76" s="49"/>
      <c r="B76" s="96" t="s">
        <v>37</v>
      </c>
      <c r="C76" s="139">
        <v>1832559</v>
      </c>
      <c r="D76" s="84">
        <v>1593328</v>
      </c>
      <c r="E76" s="84">
        <v>1143305</v>
      </c>
      <c r="F76" s="84">
        <v>-120567</v>
      </c>
      <c r="G76" s="84">
        <v>277636</v>
      </c>
      <c r="H76" s="84">
        <v>250359</v>
      </c>
      <c r="I76" s="84">
        <v>301515</v>
      </c>
      <c r="J76" s="84">
        <v>366581</v>
      </c>
      <c r="K76" s="84">
        <v>858441</v>
      </c>
      <c r="L76" s="140">
        <v>1400961</v>
      </c>
      <c r="M76" s="139">
        <v>1954815</v>
      </c>
      <c r="N76" s="84">
        <v>1712295</v>
      </c>
      <c r="O76" s="84">
        <v>1525431</v>
      </c>
      <c r="P76" s="84">
        <f>412535+87917+94644+36379+445562+105674+34133+28998</f>
        <v>1245842</v>
      </c>
      <c r="Q76" s="84">
        <f>313581+85131+64725+27184+335997+24040+94896+22806</f>
        <v>968360</v>
      </c>
      <c r="R76" s="84">
        <f>99702+66636+21874+24555+88564+66860+8218+9668</f>
        <v>386077</v>
      </c>
      <c r="S76" s="84">
        <f>27482+67126+5539+25005+98687+50338+4292+7260</f>
        <v>285729</v>
      </c>
      <c r="T76" s="84">
        <f>31613+81235+3137+24944+65552+51929+3365+10038</f>
        <v>271813</v>
      </c>
      <c r="U76" s="84">
        <f>26057+83338-10335+21395+78295+90090+3914+10727</f>
        <v>303481</v>
      </c>
      <c r="V76" s="84">
        <f>94172+9357+27233+63407+124390+79182+4770+15607</f>
        <v>418118</v>
      </c>
      <c r="W76" s="84">
        <f>162005+103592+37033+31032+245912+87605+13412+21509+60902</f>
        <v>763002</v>
      </c>
      <c r="X76" s="140">
        <f>334260+112723+55068+28776+398559+100245+19402+25252</f>
        <v>1074285</v>
      </c>
      <c r="Y76" s="84">
        <f>588856+160031+149852+53504+690348+163573+49538+45946</f>
        <v>1901648</v>
      </c>
      <c r="Z76" s="84">
        <f>569393+138266+141304+47142+634972+140520+38114+47403</f>
        <v>1757114</v>
      </c>
      <c r="AA76" s="84">
        <f>548511+147091+142548+48653+609354+140249+39760+43693</f>
        <v>1719859</v>
      </c>
      <c r="AB76" s="84">
        <f>354817+131968+98615+45360+471211+130213+28511+40138</f>
        <v>1300833</v>
      </c>
      <c r="AC76" s="84">
        <v>796715</v>
      </c>
      <c r="AD76" s="84">
        <f>86108+117347+142165+100875</f>
        <v>446495</v>
      </c>
      <c r="AE76" s="84">
        <f>65886+85568+66932+71924</f>
        <v>290310</v>
      </c>
      <c r="AF76" s="84">
        <f>35994+134112+52787+97207</f>
        <v>320100</v>
      </c>
      <c r="AG76" s="84">
        <f>38680+101752+59806+87077</f>
        <v>287315</v>
      </c>
      <c r="AH76" s="84">
        <f>58311+118852+97015+83102</f>
        <v>357280</v>
      </c>
      <c r="AI76" s="84">
        <f>226758+150559+235079+117157</f>
        <v>729553</v>
      </c>
      <c r="AJ76" s="84">
        <f>500174+161359+479821+155350</f>
        <v>1296704</v>
      </c>
      <c r="AK76" s="139">
        <f>693533+197296+652276+186224</f>
        <v>1729329</v>
      </c>
      <c r="AL76" s="70">
        <f>849831+214376+704468+188829</f>
        <v>1957504</v>
      </c>
      <c r="AM76" s="84">
        <f>664916+192935+619516+162034</f>
        <v>1639401</v>
      </c>
      <c r="AN76" s="84">
        <f>553568+223186+511814+160949</f>
        <v>1449517</v>
      </c>
      <c r="AO76" s="84">
        <f>374337+160239+268921+102109</f>
        <v>905606</v>
      </c>
      <c r="AP76" s="84">
        <f>SUM(89739,135626,199809,86851)</f>
        <v>512025</v>
      </c>
      <c r="AQ76" s="84">
        <f>44250+98264+53974+70310</f>
        <v>266798</v>
      </c>
      <c r="AR76" s="84">
        <f>41954+143154+48147+62107</f>
        <v>295362</v>
      </c>
      <c r="AS76" s="84">
        <f>47211+162918+54756+71476</f>
        <v>336361</v>
      </c>
      <c r="AT76" s="84">
        <f>100357+128769+118521+81499</f>
        <v>429146</v>
      </c>
      <c r="AU76" s="84">
        <f>159953+137524+212314+90978</f>
        <v>600769</v>
      </c>
      <c r="AV76" s="84">
        <f>454814+176245+454185+134665</f>
        <v>1219909</v>
      </c>
      <c r="AW76" s="165">
        <f>663930+195066+609202+177235</f>
        <v>1645433</v>
      </c>
      <c r="AX76" s="100">
        <f>704936+190095+602828+169783</f>
        <v>1667642</v>
      </c>
      <c r="AY76" s="100">
        <f>602091+195369+598311+161752</f>
        <v>1557523</v>
      </c>
      <c r="AZ76" s="100">
        <f>SUM(477562+163600+451443+128357)</f>
        <v>1220962</v>
      </c>
      <c r="BA76" s="100">
        <v>644777</v>
      </c>
      <c r="BB76" s="100">
        <f>SUM(95961+135348+167600+122540)</f>
        <v>521449</v>
      </c>
      <c r="BC76" s="100">
        <f>SUM(73720+119443+84384+103608)</f>
        <v>381155</v>
      </c>
      <c r="BD76" s="100">
        <f>(3854+10830+5260+4602)</f>
        <v>24546</v>
      </c>
      <c r="BE76" s="100">
        <f>46166+124251+66136+84220</f>
        <v>320773</v>
      </c>
      <c r="BF76" s="100">
        <f>61926+108307+112105+77833</f>
        <v>360171</v>
      </c>
      <c r="BG76" s="100">
        <f>187773+135296+260463+99625</f>
        <v>683157</v>
      </c>
      <c r="BH76" s="100">
        <v>1203875</v>
      </c>
      <c r="BI76" s="165">
        <f t="shared" si="257"/>
        <v>-83896</v>
      </c>
      <c r="BJ76" s="100">
        <f t="shared" si="258"/>
        <v>-289862</v>
      </c>
      <c r="BK76" s="100">
        <f t="shared" si="259"/>
        <v>-81878</v>
      </c>
      <c r="BL76" s="100">
        <f t="shared" si="260"/>
        <v>-228555</v>
      </c>
      <c r="BM76" s="100">
        <f t="shared" si="260"/>
        <v>-260829</v>
      </c>
      <c r="BN76" s="100">
        <f t="shared" si="260"/>
        <v>9424</v>
      </c>
      <c r="BO76" s="100">
        <f t="shared" si="260"/>
        <v>114357</v>
      </c>
      <c r="BP76" s="100">
        <f t="shared" si="261"/>
        <v>-270816</v>
      </c>
      <c r="BQ76" s="100">
        <f t="shared" si="262"/>
        <v>-15588</v>
      </c>
      <c r="BR76" s="100">
        <f t="shared" si="263"/>
        <v>-68975</v>
      </c>
      <c r="BS76" s="100">
        <f t="shared" si="263"/>
        <v>82388</v>
      </c>
      <c r="BT76" s="200">
        <f t="shared" si="263"/>
        <v>-16034</v>
      </c>
      <c r="BU76" s="165">
        <f>586165+178451+542039+161533</f>
        <v>1468188</v>
      </c>
      <c r="BV76" s="100">
        <f>730114+200369+647673+183241</f>
        <v>1761397</v>
      </c>
      <c r="BW76" s="100">
        <v>1488441</v>
      </c>
      <c r="BX76" s="100">
        <f>541329+159283+512443+168917</f>
        <v>1381972</v>
      </c>
      <c r="BY76" s="100">
        <f>323029+148988+316142+121101</f>
        <v>909260</v>
      </c>
      <c r="BZ76" s="100">
        <v>557215</v>
      </c>
      <c r="CA76" s="100">
        <v>390782</v>
      </c>
      <c r="CB76" s="100">
        <v>451093</v>
      </c>
      <c r="CC76" s="100">
        <v>331460</v>
      </c>
      <c r="CD76" s="100">
        <v>360947</v>
      </c>
      <c r="CE76" s="100">
        <v>742316</v>
      </c>
      <c r="CF76" s="200"/>
      <c r="CG76" s="165">
        <f t="shared" si="264"/>
        <v>1552084</v>
      </c>
      <c r="CH76" s="100">
        <f t="shared" si="265"/>
        <v>2051259</v>
      </c>
      <c r="CI76" s="100">
        <f t="shared" si="266"/>
        <v>1570319</v>
      </c>
      <c r="CJ76" s="100">
        <f t="shared" si="267"/>
        <v>1610527</v>
      </c>
      <c r="CK76" s="100">
        <f t="shared" si="268"/>
        <v>1170089</v>
      </c>
      <c r="CL76" s="100">
        <f t="shared" si="269"/>
        <v>547791</v>
      </c>
      <c r="CM76" s="100">
        <f t="shared" si="270"/>
        <v>276425</v>
      </c>
      <c r="CN76" s="100">
        <f t="shared" si="271"/>
        <v>721909</v>
      </c>
      <c r="CO76" s="100">
        <f t="shared" si="272"/>
        <v>347048</v>
      </c>
      <c r="CP76" s="100">
        <f t="shared" si="273"/>
        <v>429922</v>
      </c>
      <c r="CQ76" s="100">
        <f t="shared" si="274"/>
        <v>659928</v>
      </c>
      <c r="CR76" s="200">
        <f t="shared" si="275"/>
        <v>16034</v>
      </c>
    </row>
    <row r="77" spans="1:96" x14ac:dyDescent="0.25">
      <c r="A77" s="49"/>
      <c r="B77" s="96" t="s">
        <v>38</v>
      </c>
      <c r="C77" s="139">
        <v>780918</v>
      </c>
      <c r="D77" s="84">
        <v>485463</v>
      </c>
      <c r="E77" s="84">
        <v>444220</v>
      </c>
      <c r="F77" s="84">
        <v>381375</v>
      </c>
      <c r="G77" s="84">
        <v>376404</v>
      </c>
      <c r="H77" s="84">
        <v>404716</v>
      </c>
      <c r="I77" s="84">
        <v>327508</v>
      </c>
      <c r="J77" s="84">
        <v>457890</v>
      </c>
      <c r="K77" s="84">
        <v>614398</v>
      </c>
      <c r="L77" s="140">
        <v>694020</v>
      </c>
      <c r="M77" s="139">
        <v>735559</v>
      </c>
      <c r="N77" s="84">
        <v>650080</v>
      </c>
      <c r="O77" s="84">
        <v>648187</v>
      </c>
      <c r="P77" s="84">
        <f>201117+385175</f>
        <v>586292</v>
      </c>
      <c r="Q77" s="84">
        <f>7127+58981+60110+281408+38681</f>
        <v>446307</v>
      </c>
      <c r="R77" s="84">
        <f>770+151075+12887+316624+29747</f>
        <v>511103</v>
      </c>
      <c r="S77" s="84">
        <f>31+118052+5993+302767+23927</f>
        <v>450770</v>
      </c>
      <c r="T77" s="84">
        <f>2455+141387-17809+303878+23754</f>
        <v>453665</v>
      </c>
      <c r="U77" s="84">
        <f>110975-821+4674+346671+24275</f>
        <v>485774</v>
      </c>
      <c r="V77" s="84">
        <f>1582+84887+18739+378216+31734</f>
        <v>515158</v>
      </c>
      <c r="W77" s="84">
        <f>8947+81249+28112+365149+40867+187781</f>
        <v>712105</v>
      </c>
      <c r="X77" s="140">
        <f>24186+125771+50015+418796+43914</f>
        <v>662682</v>
      </c>
      <c r="Y77" s="84">
        <f>94597+118528+87305+486542+66937</f>
        <v>853909</v>
      </c>
      <c r="Z77" s="84">
        <f>93948+46624+64584+396226+65609</f>
        <v>666991</v>
      </c>
      <c r="AA77" s="84">
        <f>71207+95893+43884+390079+60695</f>
        <v>661758</v>
      </c>
      <c r="AB77" s="84">
        <f>44554+105874+29463+313818+58656</f>
        <v>552365</v>
      </c>
      <c r="AC77" s="84">
        <v>932300</v>
      </c>
      <c r="AD77" s="84">
        <f>12026+93478+719+18141</f>
        <v>124364</v>
      </c>
      <c r="AE77" s="84">
        <f>524+325063+37695+1119</f>
        <v>364401</v>
      </c>
      <c r="AF77" s="84">
        <f>153569+21+1653+275741</f>
        <v>430984</v>
      </c>
      <c r="AG77" s="84">
        <f>893+58915+327433</f>
        <v>387241</v>
      </c>
      <c r="AH77" s="84">
        <f>5433+65178+7158+329076</f>
        <v>406845</v>
      </c>
      <c r="AI77" s="84">
        <f>13867+250449+9807+357539</f>
        <v>631662</v>
      </c>
      <c r="AJ77" s="84">
        <f>15780+136482+39769+418908</f>
        <v>610939</v>
      </c>
      <c r="AK77" s="139">
        <f>77802+58971+62374+453298</f>
        <v>652445</v>
      </c>
      <c r="AL77" s="70">
        <f>49852+155928+117495+514705</f>
        <v>837980</v>
      </c>
      <c r="AM77" s="84">
        <f>21712+69733+78492+453199</f>
        <v>623136</v>
      </c>
      <c r="AN77" s="84">
        <f>19108+69053+46850+451527</f>
        <v>586538</v>
      </c>
      <c r="AO77" s="84">
        <f>8458+210350+30113+358407</f>
        <v>607328</v>
      </c>
      <c r="AP77" s="84">
        <f>SUM(2007,145359,13083,333055)</f>
        <v>493504</v>
      </c>
      <c r="AQ77" s="84">
        <f>2991+9927+2258+293016</f>
        <v>308192</v>
      </c>
      <c r="AR77" s="84">
        <f>739+170893+1849+262849</f>
        <v>436330</v>
      </c>
      <c r="AS77" s="84">
        <f>4933+187623+349+123883</f>
        <v>316788</v>
      </c>
      <c r="AT77" s="84">
        <f>2452+137173+2259+457694</f>
        <v>599578</v>
      </c>
      <c r="AU77" s="84">
        <f>6673+117459+10039+272923</f>
        <v>407094</v>
      </c>
      <c r="AV77" s="84">
        <f>27854+507146+20956+64597</f>
        <v>620553</v>
      </c>
      <c r="AW77" s="165">
        <f>34623+59142+65635+393351</f>
        <v>552751</v>
      </c>
      <c r="AX77" s="100">
        <f>36449+54524+66177+383872</f>
        <v>541022</v>
      </c>
      <c r="AY77" s="100">
        <f>36222+63996+67707+611096</f>
        <v>779021</v>
      </c>
      <c r="AZ77" s="100">
        <f>SUM(54189+9428+57341+377633)</f>
        <v>498591</v>
      </c>
      <c r="BA77" s="100">
        <v>436003</v>
      </c>
      <c r="BB77" s="100">
        <f>SUM(4542+171344+17616+447958)</f>
        <v>641460</v>
      </c>
      <c r="BC77" s="100">
        <f>SUM(5084+16618+6446+334115)</f>
        <v>362263</v>
      </c>
      <c r="BD77" s="100">
        <f>(283+886+6072+23235)</f>
        <v>30476</v>
      </c>
      <c r="BE77" s="100">
        <f>5044+151181+1037+209806</f>
        <v>367068</v>
      </c>
      <c r="BF77" s="100">
        <f>1571+507584+3681+138768</f>
        <v>651604</v>
      </c>
      <c r="BG77" s="100">
        <f>6628+10066+2323+242789</f>
        <v>261806</v>
      </c>
      <c r="BH77" s="100">
        <v>320108</v>
      </c>
      <c r="BI77" s="165">
        <f t="shared" si="257"/>
        <v>-99694</v>
      </c>
      <c r="BJ77" s="100">
        <f t="shared" si="258"/>
        <v>-296958</v>
      </c>
      <c r="BK77" s="100">
        <f t="shared" si="259"/>
        <v>155885</v>
      </c>
      <c r="BL77" s="100">
        <f t="shared" si="260"/>
        <v>-87947</v>
      </c>
      <c r="BM77" s="100">
        <f t="shared" si="260"/>
        <v>-171325</v>
      </c>
      <c r="BN77" s="100">
        <f t="shared" si="260"/>
        <v>147956</v>
      </c>
      <c r="BO77" s="100">
        <f t="shared" si="260"/>
        <v>54071</v>
      </c>
      <c r="BP77" s="100">
        <f t="shared" si="261"/>
        <v>-405854</v>
      </c>
      <c r="BQ77" s="100">
        <f t="shared" si="262"/>
        <v>50280</v>
      </c>
      <c r="BR77" s="100">
        <f t="shared" si="263"/>
        <v>52026</v>
      </c>
      <c r="BS77" s="100">
        <f t="shared" si="263"/>
        <v>-145288</v>
      </c>
      <c r="BT77" s="200">
        <f t="shared" si="263"/>
        <v>-300445</v>
      </c>
      <c r="BU77" s="165">
        <f>88670+277581</f>
        <v>366251</v>
      </c>
      <c r="BV77" s="100">
        <f>13040+117953+32720+614463</f>
        <v>778176</v>
      </c>
      <c r="BW77" s="100">
        <v>732270</v>
      </c>
      <c r="BX77" s="100">
        <f>10706+98589+74069+369452</f>
        <v>552816</v>
      </c>
      <c r="BY77" s="100">
        <f>33122+79876+36718+339429</f>
        <v>489145</v>
      </c>
      <c r="BZ77" s="100">
        <v>413391</v>
      </c>
      <c r="CA77" s="100">
        <v>447847</v>
      </c>
      <c r="CB77" s="100">
        <v>415765</v>
      </c>
      <c r="CC77" s="100">
        <v>481507</v>
      </c>
      <c r="CD77" s="100">
        <v>702254</v>
      </c>
      <c r="CE77" s="100">
        <v>513282</v>
      </c>
      <c r="CF77" s="200"/>
      <c r="CG77" s="165">
        <f t="shared" si="264"/>
        <v>465945</v>
      </c>
      <c r="CH77" s="100">
        <f t="shared" si="265"/>
        <v>1075134</v>
      </c>
      <c r="CI77" s="100">
        <f t="shared" si="266"/>
        <v>576385</v>
      </c>
      <c r="CJ77" s="100">
        <f t="shared" si="267"/>
        <v>640763</v>
      </c>
      <c r="CK77" s="100">
        <f t="shared" si="268"/>
        <v>660470</v>
      </c>
      <c r="CL77" s="100">
        <f t="shared" si="269"/>
        <v>265435</v>
      </c>
      <c r="CM77" s="100">
        <f t="shared" si="270"/>
        <v>393776</v>
      </c>
      <c r="CN77" s="100">
        <f t="shared" si="271"/>
        <v>821619</v>
      </c>
      <c r="CO77" s="100">
        <f t="shared" si="272"/>
        <v>431227</v>
      </c>
      <c r="CP77" s="100">
        <f t="shared" si="273"/>
        <v>650228</v>
      </c>
      <c r="CQ77" s="100">
        <f t="shared" si="274"/>
        <v>658570</v>
      </c>
      <c r="CR77" s="200">
        <f t="shared" si="275"/>
        <v>300445</v>
      </c>
    </row>
    <row r="78" spans="1:96" x14ac:dyDescent="0.25">
      <c r="A78" s="49"/>
      <c r="B78" s="96" t="s">
        <v>39</v>
      </c>
      <c r="C78" s="139">
        <f>SUM(C73:C77)</f>
        <v>10437928</v>
      </c>
      <c r="D78" s="84">
        <f>SUM(D73:D77)</f>
        <v>7577055</v>
      </c>
      <c r="E78" s="84">
        <f t="shared" ref="E78:V78" si="276">SUM(E73:E77)</f>
        <v>4510693</v>
      </c>
      <c r="F78" s="84">
        <f t="shared" si="276"/>
        <v>2087452</v>
      </c>
      <c r="G78" s="84">
        <f t="shared" si="276"/>
        <v>1719391</v>
      </c>
      <c r="H78" s="84">
        <f t="shared" si="276"/>
        <v>1566001</v>
      </c>
      <c r="I78" s="84">
        <f t="shared" si="276"/>
        <v>1594247</v>
      </c>
      <c r="J78" s="84">
        <f t="shared" si="276"/>
        <v>2004871</v>
      </c>
      <c r="K78" s="84">
        <f t="shared" si="276"/>
        <v>4695044</v>
      </c>
      <c r="L78" s="140">
        <f t="shared" si="276"/>
        <v>8156469</v>
      </c>
      <c r="M78" s="139">
        <f t="shared" si="276"/>
        <v>10830922</v>
      </c>
      <c r="N78" s="84">
        <f t="shared" si="276"/>
        <v>9328705</v>
      </c>
      <c r="O78" s="84">
        <f t="shared" si="276"/>
        <v>8447750</v>
      </c>
      <c r="P78" s="84">
        <f t="shared" si="276"/>
        <v>6865799</v>
      </c>
      <c r="Q78" s="84">
        <f t="shared" si="276"/>
        <v>5532889</v>
      </c>
      <c r="R78" s="84">
        <f t="shared" si="276"/>
        <v>2486821</v>
      </c>
      <c r="S78" s="84">
        <f t="shared" si="276"/>
        <v>1747290</v>
      </c>
      <c r="T78" s="84">
        <f t="shared" si="276"/>
        <v>1724485</v>
      </c>
      <c r="U78" s="84">
        <f t="shared" si="276"/>
        <v>1754008</v>
      </c>
      <c r="V78" s="84">
        <f t="shared" si="276"/>
        <v>2272596</v>
      </c>
      <c r="W78" s="84">
        <f t="shared" ref="W78:AC78" si="277">SUM(W73:W77)</f>
        <v>4139125</v>
      </c>
      <c r="X78" s="140">
        <f t="shared" si="277"/>
        <v>6427104</v>
      </c>
      <c r="Y78" s="84">
        <f t="shared" si="277"/>
        <v>10827020</v>
      </c>
      <c r="Z78" s="84">
        <f t="shared" si="277"/>
        <v>10482235</v>
      </c>
      <c r="AA78" s="84">
        <f t="shared" si="277"/>
        <v>9808497</v>
      </c>
      <c r="AB78" s="84">
        <f t="shared" si="277"/>
        <v>6872452</v>
      </c>
      <c r="AC78" s="84">
        <f t="shared" si="277"/>
        <v>4731368</v>
      </c>
      <c r="AD78" s="84">
        <f t="shared" ref="AD78:AI78" si="278">SUM(AD73:AD77)</f>
        <v>2074620</v>
      </c>
      <c r="AE78" s="84">
        <f t="shared" si="278"/>
        <v>1600089</v>
      </c>
      <c r="AF78" s="84">
        <f t="shared" si="278"/>
        <v>1842256</v>
      </c>
      <c r="AG78" s="84">
        <f t="shared" si="278"/>
        <v>1658965</v>
      </c>
      <c r="AH78" s="84">
        <f t="shared" si="278"/>
        <v>1828221</v>
      </c>
      <c r="AI78" s="84">
        <f t="shared" si="278"/>
        <v>3596064</v>
      </c>
      <c r="AJ78" s="84">
        <f>SUM(AJ73:AJ77)</f>
        <v>7115739</v>
      </c>
      <c r="AK78" s="139">
        <f>SUM(AK73:AK77)</f>
        <v>9958124</v>
      </c>
      <c r="AL78" s="84">
        <f>SUM(AL73:AL77)</f>
        <v>11557348</v>
      </c>
      <c r="AM78" s="84">
        <f>SUM(AM73:AM77)</f>
        <v>9081469</v>
      </c>
      <c r="AN78" s="84">
        <f>SUM(AN73:AN77)</f>
        <v>7622143</v>
      </c>
      <c r="AO78" s="84">
        <f t="shared" ref="AO78:AT78" si="279">SUM(AO73:AO77)</f>
        <v>4260069</v>
      </c>
      <c r="AP78" s="84">
        <f t="shared" si="279"/>
        <v>2478198</v>
      </c>
      <c r="AQ78" s="84">
        <f t="shared" si="279"/>
        <v>1671913</v>
      </c>
      <c r="AR78" s="84">
        <f t="shared" si="279"/>
        <v>1623116</v>
      </c>
      <c r="AS78" s="84">
        <f t="shared" si="279"/>
        <v>1694644</v>
      </c>
      <c r="AT78" s="84">
        <f t="shared" si="279"/>
        <v>2339167</v>
      </c>
      <c r="AU78" s="84">
        <f t="shared" ref="AU78:BB78" si="280">SUM(AU73:AU77)</f>
        <v>3042468</v>
      </c>
      <c r="AV78" s="84">
        <f t="shared" si="280"/>
        <v>6849060</v>
      </c>
      <c r="AW78" s="165">
        <f t="shared" si="280"/>
        <v>9455677</v>
      </c>
      <c r="AX78" s="100">
        <f t="shared" si="280"/>
        <v>9293994</v>
      </c>
      <c r="AY78" s="101">
        <f t="shared" si="280"/>
        <v>8919389</v>
      </c>
      <c r="AZ78" s="100">
        <f t="shared" si="280"/>
        <v>6720707</v>
      </c>
      <c r="BA78" s="100">
        <f t="shared" si="280"/>
        <v>3357732</v>
      </c>
      <c r="BB78" s="100">
        <f t="shared" si="280"/>
        <v>2759873</v>
      </c>
      <c r="BC78" s="100">
        <f t="shared" ref="BC78:BH78" si="281">SUM(BC73:BC77)</f>
        <v>1931695</v>
      </c>
      <c r="BD78" s="100">
        <f t="shared" si="281"/>
        <v>677787</v>
      </c>
      <c r="BE78" s="100">
        <f t="shared" si="281"/>
        <v>1754998</v>
      </c>
      <c r="BF78" s="100">
        <f t="shared" si="281"/>
        <v>2158694</v>
      </c>
      <c r="BG78" s="100">
        <f t="shared" si="281"/>
        <v>3546231</v>
      </c>
      <c r="BH78" s="100">
        <f t="shared" si="281"/>
        <v>6755726</v>
      </c>
      <c r="BI78" s="165">
        <f t="shared" si="257"/>
        <v>-502447</v>
      </c>
      <c r="BJ78" s="100">
        <f t="shared" si="258"/>
        <v>-2263354</v>
      </c>
      <c r="BK78" s="100">
        <f t="shared" si="259"/>
        <v>-162080</v>
      </c>
      <c r="BL78" s="100">
        <f t="shared" si="260"/>
        <v>-901436</v>
      </c>
      <c r="BM78" s="100">
        <f t="shared" si="260"/>
        <v>-902337</v>
      </c>
      <c r="BN78" s="100">
        <f t="shared" si="260"/>
        <v>281675</v>
      </c>
      <c r="BO78" s="100">
        <f t="shared" si="260"/>
        <v>259782</v>
      </c>
      <c r="BP78" s="100">
        <f t="shared" si="261"/>
        <v>-945329</v>
      </c>
      <c r="BQ78" s="100">
        <f t="shared" si="262"/>
        <v>60354</v>
      </c>
      <c r="BR78" s="100">
        <f t="shared" si="263"/>
        <v>-180473</v>
      </c>
      <c r="BS78" s="100">
        <f t="shared" si="263"/>
        <v>503763</v>
      </c>
      <c r="BT78" s="200">
        <f t="shared" si="263"/>
        <v>-93334</v>
      </c>
      <c r="BU78" s="165">
        <f t="shared" ref="BU78:CF78" si="282">SUM(BU73:BU77)</f>
        <v>8692707</v>
      </c>
      <c r="BV78" s="100">
        <f t="shared" si="282"/>
        <v>10536684</v>
      </c>
      <c r="BW78" s="100">
        <f t="shared" si="282"/>
        <v>8822636</v>
      </c>
      <c r="BX78" s="100">
        <f t="shared" si="282"/>
        <v>7211837</v>
      </c>
      <c r="BY78" s="100">
        <f t="shared" si="282"/>
        <v>4666172</v>
      </c>
      <c r="BZ78" s="100">
        <v>2517723</v>
      </c>
      <c r="CA78" s="100">
        <f t="shared" si="282"/>
        <v>1872658</v>
      </c>
      <c r="CB78" s="100">
        <f t="shared" si="282"/>
        <v>1869363</v>
      </c>
      <c r="CC78" s="100">
        <f t="shared" si="282"/>
        <v>1808209</v>
      </c>
      <c r="CD78" s="100">
        <f t="shared" si="282"/>
        <v>2254328</v>
      </c>
      <c r="CE78" s="100">
        <f t="shared" si="282"/>
        <v>3738799</v>
      </c>
      <c r="CF78" s="200">
        <f t="shared" si="282"/>
        <v>0</v>
      </c>
      <c r="CG78" s="165">
        <f t="shared" si="264"/>
        <v>9195154</v>
      </c>
      <c r="CH78" s="100">
        <f t="shared" si="265"/>
        <v>12800038</v>
      </c>
      <c r="CI78" s="100">
        <f t="shared" si="266"/>
        <v>8984716</v>
      </c>
      <c r="CJ78" s="100">
        <f t="shared" si="267"/>
        <v>8113273</v>
      </c>
      <c r="CK78" s="100">
        <f t="shared" si="268"/>
        <v>5568509</v>
      </c>
      <c r="CL78" s="100">
        <f t="shared" si="269"/>
        <v>2236048</v>
      </c>
      <c r="CM78" s="100">
        <f t="shared" si="270"/>
        <v>1612876</v>
      </c>
      <c r="CN78" s="100">
        <f t="shared" si="271"/>
        <v>2814692</v>
      </c>
      <c r="CO78" s="100">
        <f t="shared" si="272"/>
        <v>1747855</v>
      </c>
      <c r="CP78" s="100">
        <f t="shared" si="273"/>
        <v>2434801</v>
      </c>
      <c r="CQ78" s="100">
        <f t="shared" si="274"/>
        <v>3235036</v>
      </c>
      <c r="CR78" s="200">
        <f t="shared" si="275"/>
        <v>93334</v>
      </c>
    </row>
    <row r="79" spans="1:96" x14ac:dyDescent="0.25">
      <c r="A79" s="49">
        <f>+A72+1</f>
        <v>11</v>
      </c>
      <c r="B79" s="103" t="s">
        <v>32</v>
      </c>
      <c r="C79" s="137"/>
      <c r="D79" s="69"/>
      <c r="E79" s="69"/>
      <c r="F79" s="69"/>
      <c r="G79" s="69"/>
      <c r="H79" s="69"/>
      <c r="I79" s="69"/>
      <c r="J79" s="69"/>
      <c r="K79" s="69"/>
      <c r="L79" s="73"/>
      <c r="M79" s="137"/>
      <c r="N79" s="69"/>
      <c r="O79" s="69"/>
      <c r="P79" s="69"/>
      <c r="Q79" s="69"/>
      <c r="R79" s="69"/>
      <c r="S79" s="69"/>
      <c r="T79" s="69"/>
      <c r="U79" s="69"/>
      <c r="V79" s="69"/>
      <c r="W79" s="69"/>
      <c r="X79" s="73"/>
      <c r="Y79" s="69"/>
      <c r="Z79" s="69"/>
      <c r="AA79" s="69"/>
      <c r="AB79" s="69"/>
      <c r="AC79" s="69"/>
      <c r="AD79" s="69"/>
      <c r="AE79" s="69"/>
      <c r="AF79" s="69"/>
      <c r="AG79" s="69"/>
      <c r="AH79" s="69"/>
      <c r="AI79" s="69"/>
      <c r="AJ79" s="69"/>
      <c r="AK79" s="137"/>
      <c r="AL79" s="69"/>
      <c r="AM79" s="69"/>
      <c r="AN79" s="69"/>
      <c r="AO79" s="69"/>
      <c r="AP79" s="69"/>
      <c r="AQ79" s="69"/>
      <c r="AR79" s="69"/>
      <c r="AS79" s="69"/>
      <c r="AT79" s="69"/>
      <c r="AU79" s="69"/>
      <c r="AV79" s="69"/>
      <c r="AW79" s="170"/>
      <c r="AX79" s="44"/>
      <c r="AY79" s="44"/>
      <c r="AZ79" s="44"/>
      <c r="BA79" s="44"/>
      <c r="BB79" s="44"/>
      <c r="BC79" s="44"/>
      <c r="BD79" s="44"/>
      <c r="BE79" s="44"/>
      <c r="BF79" s="44"/>
      <c r="BG79" s="44"/>
      <c r="BH79" s="97"/>
      <c r="BI79" s="170"/>
      <c r="BJ79" s="44"/>
      <c r="BK79" s="44"/>
      <c r="BL79" s="44"/>
      <c r="BM79" s="44"/>
      <c r="BN79" s="44"/>
      <c r="BO79" s="44"/>
      <c r="BP79" s="44"/>
      <c r="BQ79" s="44"/>
      <c r="BR79" s="44"/>
      <c r="BS79" s="44"/>
      <c r="BT79" s="97"/>
      <c r="BU79" s="170"/>
      <c r="BV79" s="44"/>
      <c r="BW79" s="44"/>
      <c r="BX79" s="44"/>
      <c r="BY79" s="44"/>
      <c r="BZ79" s="44"/>
      <c r="CA79" s="44"/>
      <c r="CB79" s="44"/>
      <c r="CC79" s="44"/>
      <c r="CD79" s="44"/>
      <c r="CE79" s="44"/>
      <c r="CF79" s="97"/>
      <c r="CG79" s="170"/>
      <c r="CH79" s="44"/>
      <c r="CI79" s="44"/>
      <c r="CJ79" s="44"/>
      <c r="CK79" s="44"/>
      <c r="CL79" s="44"/>
      <c r="CM79" s="44"/>
      <c r="CN79" s="44"/>
      <c r="CO79" s="44"/>
      <c r="CP79" s="44"/>
      <c r="CQ79" s="44"/>
      <c r="CR79" s="97"/>
    </row>
    <row r="80" spans="1:96" x14ac:dyDescent="0.25">
      <c r="A80" s="49"/>
      <c r="B80" s="96" t="s">
        <v>34</v>
      </c>
      <c r="C80" s="138">
        <v>7320652</v>
      </c>
      <c r="D80" s="28">
        <v>5383472</v>
      </c>
      <c r="E80" s="28">
        <v>2835928</v>
      </c>
      <c r="F80" s="28">
        <v>1635234</v>
      </c>
      <c r="G80" s="28">
        <v>1190977</v>
      </c>
      <c r="H80" s="28">
        <v>1073742</v>
      </c>
      <c r="I80" s="28">
        <v>1093327</v>
      </c>
      <c r="J80" s="28">
        <v>1204853</v>
      </c>
      <c r="K80" s="28">
        <v>2832598</v>
      </c>
      <c r="L80" s="72">
        <v>6007193</v>
      </c>
      <c r="M80" s="138">
        <v>7862432</v>
      </c>
      <c r="N80" s="28">
        <v>6861669</v>
      </c>
      <c r="O80" s="28">
        <v>6223104</v>
      </c>
      <c r="P80" s="28">
        <f>80207+5036727+4831+14829</f>
        <v>5136594</v>
      </c>
      <c r="Q80" s="28">
        <f>71392+3880725+4955+12980</f>
        <v>3970052</v>
      </c>
      <c r="R80" s="28">
        <f>54505+1517335+2383+7644</f>
        <v>1581867</v>
      </c>
      <c r="S80" s="28">
        <f>49697+1137411+1828+6045</f>
        <v>1194981</v>
      </c>
      <c r="T80" s="28">
        <f>48710+1110162+1871+6023</f>
        <v>1166766</v>
      </c>
      <c r="U80" s="28">
        <v>1163542.1200000001</v>
      </c>
      <c r="V80" s="28">
        <f>53526+1317258+2240+7230</f>
        <v>1380254</v>
      </c>
      <c r="W80" s="28">
        <f>62853+2498204+3044+11188</f>
        <v>2575289</v>
      </c>
      <c r="X80" s="72">
        <f>76500+5039403+4910+17384</f>
        <v>5138197</v>
      </c>
      <c r="Y80" s="28">
        <f>93322+8213360+8442+24284</f>
        <v>8339408</v>
      </c>
      <c r="Z80" s="28">
        <f>81959+7821609+7508+22707</f>
        <v>7933783</v>
      </c>
      <c r="AA80" s="28">
        <f>81592+7315449+7630+21043</f>
        <v>7425714</v>
      </c>
      <c r="AB80" s="28">
        <f>76481+5198177+5754+15627</f>
        <v>5296039</v>
      </c>
      <c r="AC80" s="128">
        <v>3161210</v>
      </c>
      <c r="AD80" s="128">
        <f>40518.67+11861.49+5697.79+853660.89+514075.54+248945.11+5747.97+4153.08</f>
        <v>1684660.5399999998</v>
      </c>
      <c r="AE80" s="128">
        <f>50490+1203464+7245</f>
        <v>1261199</v>
      </c>
      <c r="AF80" s="128">
        <f>52887+1237458+8439</f>
        <v>1298784</v>
      </c>
      <c r="AG80" s="128">
        <f>50885+1174204</f>
        <v>1225089</v>
      </c>
      <c r="AH80" s="128">
        <f>53324+1228832+8800</f>
        <v>1290956</v>
      </c>
      <c r="AI80" s="128">
        <f>71014+2721482+15551</f>
        <v>2808047</v>
      </c>
      <c r="AJ80" s="128">
        <f>98219+7247114+27994</f>
        <v>7373327</v>
      </c>
      <c r="AK80" s="212">
        <f>115880+10229870+36648</f>
        <v>10382398</v>
      </c>
      <c r="AL80" s="84">
        <f>117571+11729595+40854</f>
        <v>11888020</v>
      </c>
      <c r="AM80" s="128">
        <f>107755+9320249+30278</f>
        <v>9458282</v>
      </c>
      <c r="AN80" s="128">
        <f>116051+7993752+29739</f>
        <v>8139542</v>
      </c>
      <c r="AO80" s="128">
        <f>79900+3939595+16887</f>
        <v>4036382</v>
      </c>
      <c r="AP80" s="128">
        <f>SUM(72043,2146103,10919)</f>
        <v>2229065</v>
      </c>
      <c r="AQ80" s="128">
        <f>77264+2088544+9787</f>
        <v>2175595</v>
      </c>
      <c r="AR80" s="128">
        <f>61750+1582977+8242</f>
        <v>1652969</v>
      </c>
      <c r="AS80" s="128">
        <f>68114+1698150+9510</f>
        <v>1775774</v>
      </c>
      <c r="AT80" s="128">
        <f>72081+1990296+11830</f>
        <v>2074207</v>
      </c>
      <c r="AU80" s="128">
        <f>82615+3088166+15902</f>
        <v>3186683</v>
      </c>
      <c r="AV80" s="128">
        <f>113930+7538515+28252</f>
        <v>7680697</v>
      </c>
      <c r="AW80" s="168">
        <f>134225+10606248+37695</f>
        <v>10778168</v>
      </c>
      <c r="AX80" s="104">
        <f>130820+10042215+37354</f>
        <v>10210389</v>
      </c>
      <c r="AY80" s="104">
        <f>119000+9178250+35154</f>
        <v>9332404</v>
      </c>
      <c r="AZ80" s="104">
        <f>SUM(107041+6994204+28678)</f>
        <v>7129923</v>
      </c>
      <c r="BA80" s="193">
        <v>3099646</v>
      </c>
      <c r="BB80" s="193">
        <f>SUM(13651+59113+1704758)</f>
        <v>1777522</v>
      </c>
      <c r="BC80" s="195">
        <f>SUM(53820+1333009+12001)</f>
        <v>1398830</v>
      </c>
      <c r="BD80" s="104">
        <f>(46302+1085881+8916)</f>
        <v>1141099</v>
      </c>
      <c r="BE80" s="104">
        <f>52091+1225711+10451</f>
        <v>1288253</v>
      </c>
      <c r="BF80" s="104">
        <f>61102+1288175+11779</f>
        <v>1361056</v>
      </c>
      <c r="BG80" s="195">
        <f>56527+2713887+17646</f>
        <v>2788060</v>
      </c>
      <c r="BH80" s="195">
        <v>5809058</v>
      </c>
      <c r="BI80" s="168">
        <f t="shared" ref="BI80:BI85" si="283">AW80-AK80</f>
        <v>395770</v>
      </c>
      <c r="BJ80" s="104">
        <f t="shared" ref="BJ80:BJ85" si="284">AX80-AL80</f>
        <v>-1677631</v>
      </c>
      <c r="BK80" s="104">
        <f t="shared" ref="BK80:BK85" si="285">AY80-AM80</f>
        <v>-125878</v>
      </c>
      <c r="BL80" s="104">
        <f t="shared" ref="BL80:BO85" si="286">AZ80-AN80</f>
        <v>-1009619</v>
      </c>
      <c r="BM80" s="104">
        <f t="shared" si="286"/>
        <v>-936736</v>
      </c>
      <c r="BN80" s="104">
        <f t="shared" si="286"/>
        <v>-451543</v>
      </c>
      <c r="BO80" s="104">
        <f t="shared" si="286"/>
        <v>-776765</v>
      </c>
      <c r="BP80" s="104">
        <f t="shared" ref="BP80:BP85" si="287">BD80-AR80</f>
        <v>-511870</v>
      </c>
      <c r="BQ80" s="104">
        <f t="shared" ref="BQ80:BQ85" si="288">BE80-AS80</f>
        <v>-487521</v>
      </c>
      <c r="BR80" s="104">
        <f t="shared" ref="BR80:BT85" si="289">BF80-AT80</f>
        <v>-713151</v>
      </c>
      <c r="BS80" s="104">
        <f t="shared" si="289"/>
        <v>-398623</v>
      </c>
      <c r="BT80" s="106">
        <f t="shared" si="289"/>
        <v>-1871639</v>
      </c>
      <c r="BU80" s="168">
        <f>97269+6895855+31845</f>
        <v>7024969</v>
      </c>
      <c r="BV80" s="104">
        <f>98251+7520792+34940</f>
        <v>7653983</v>
      </c>
      <c r="BW80" s="104">
        <v>6437329</v>
      </c>
      <c r="BX80" s="104">
        <f>96401+5045234+26604</f>
        <v>5168239</v>
      </c>
      <c r="BY80" s="104">
        <f>54116+3322665+19655</f>
        <v>3396436</v>
      </c>
      <c r="BZ80" s="193">
        <v>2011888</v>
      </c>
      <c r="CA80" s="195">
        <v>1511516</v>
      </c>
      <c r="CB80" s="104">
        <v>1367193</v>
      </c>
      <c r="CC80" s="104">
        <v>1380251</v>
      </c>
      <c r="CD80" s="104">
        <v>1542042</v>
      </c>
      <c r="CE80" s="195">
        <v>3045123</v>
      </c>
      <c r="CF80" s="214"/>
      <c r="CG80" s="168">
        <f t="shared" ref="CG80:CG85" si="290">BU80-BI80</f>
        <v>6629199</v>
      </c>
      <c r="CH80" s="104">
        <f t="shared" ref="CH80:CH85" si="291">BV80-BJ80</f>
        <v>9331614</v>
      </c>
      <c r="CI80" s="104">
        <f t="shared" ref="CI80:CI85" si="292">BW80-BK80</f>
        <v>6563207</v>
      </c>
      <c r="CJ80" s="104">
        <f t="shared" ref="CJ80:CJ85" si="293">BX80-BL80</f>
        <v>6177858</v>
      </c>
      <c r="CK80" s="104">
        <f t="shared" ref="CK80:CK85" si="294">BY80-BM80</f>
        <v>4333172</v>
      </c>
      <c r="CL80" s="104">
        <f t="shared" ref="CL80:CL85" si="295">BZ80-BN80</f>
        <v>2463431</v>
      </c>
      <c r="CM80" s="104">
        <f t="shared" ref="CM80:CM85" si="296">CA80-BO80</f>
        <v>2288281</v>
      </c>
      <c r="CN80" s="104">
        <f t="shared" ref="CN80:CN85" si="297">CB80-BP80</f>
        <v>1879063</v>
      </c>
      <c r="CO80" s="104">
        <f t="shared" ref="CO80:CO85" si="298">CC80-BQ80</f>
        <v>1867772</v>
      </c>
      <c r="CP80" s="104">
        <f t="shared" ref="CP80:CP85" si="299">CD80-BR80</f>
        <v>2255193</v>
      </c>
      <c r="CQ80" s="104">
        <f t="shared" ref="CQ80:CQ85" si="300">CE80-BS80</f>
        <v>3443746</v>
      </c>
      <c r="CR80" s="106">
        <f t="shared" ref="CR80:CR85" si="301">CF80-BT80</f>
        <v>1871639</v>
      </c>
    </row>
    <row r="81" spans="1:96" x14ac:dyDescent="0.25">
      <c r="A81" s="49"/>
      <c r="B81" s="96" t="s">
        <v>35</v>
      </c>
      <c r="C81" s="138">
        <v>1333487</v>
      </c>
      <c r="D81" s="28">
        <v>958085</v>
      </c>
      <c r="E81" s="28">
        <v>508395</v>
      </c>
      <c r="F81" s="28">
        <v>288279</v>
      </c>
      <c r="G81" s="28">
        <v>199067</v>
      </c>
      <c r="H81" s="28">
        <v>185727</v>
      </c>
      <c r="I81" s="28">
        <v>191423</v>
      </c>
      <c r="J81" s="28">
        <v>225239</v>
      </c>
      <c r="K81" s="28">
        <v>582954</v>
      </c>
      <c r="L81" s="72">
        <v>1116062</v>
      </c>
      <c r="M81" s="138">
        <v>1429370</v>
      </c>
      <c r="N81" s="28">
        <v>1214330</v>
      </c>
      <c r="O81" s="28">
        <v>1133263</v>
      </c>
      <c r="P81" s="28">
        <f>8015+941488</f>
        <v>949503</v>
      </c>
      <c r="Q81" s="28">
        <f>7334+683105</f>
        <v>690439</v>
      </c>
      <c r="R81" s="28">
        <f>5430+262146</f>
        <v>267576</v>
      </c>
      <c r="S81" s="28">
        <f>4639+186405</f>
        <v>191044</v>
      </c>
      <c r="T81" s="28">
        <f>4777+191744</f>
        <v>196521</v>
      </c>
      <c r="U81" s="28">
        <v>195920.27</v>
      </c>
      <c r="V81" s="28">
        <f>5440+240660</f>
        <v>246100</v>
      </c>
      <c r="W81" s="28">
        <f>6989+498118</f>
        <v>505107</v>
      </c>
      <c r="X81" s="72">
        <f>8625+979285</f>
        <v>987910</v>
      </c>
      <c r="Y81" s="28">
        <f>10311+1433805</f>
        <v>1444116</v>
      </c>
      <c r="Z81" s="28">
        <f>9943+1385803</f>
        <v>1395746</v>
      </c>
      <c r="AA81" s="28">
        <f>9079+1250446</f>
        <v>1259525</v>
      </c>
      <c r="AB81" s="28">
        <f>8145+838392</f>
        <v>846537</v>
      </c>
      <c r="AC81" s="128">
        <v>564271</v>
      </c>
      <c r="AD81" s="128">
        <f>2294.42+1043.22+505.87+95427.94+100162.09+48268.47</f>
        <v>247702.00999999998</v>
      </c>
      <c r="AE81" s="128">
        <f>2942+166178</f>
        <v>169120</v>
      </c>
      <c r="AF81" s="128">
        <f>4849+234225</f>
        <v>239074</v>
      </c>
      <c r="AG81" s="128">
        <f>4445+207784</f>
        <v>212229</v>
      </c>
      <c r="AH81" s="128">
        <f>4178+225000</f>
        <v>229178</v>
      </c>
      <c r="AI81" s="128">
        <f>6174+601119</f>
        <v>607293</v>
      </c>
      <c r="AJ81" s="128">
        <f>8667+1342458</f>
        <v>1351125</v>
      </c>
      <c r="AK81" s="212">
        <f>8551+1863976</f>
        <v>1872527</v>
      </c>
      <c r="AL81" s="70">
        <f>9541+2097433</f>
        <v>2106974</v>
      </c>
      <c r="AM81" s="128">
        <f>8886+1680584</f>
        <v>1689470</v>
      </c>
      <c r="AN81" s="128">
        <f>12175+1622311</f>
        <v>1634486</v>
      </c>
      <c r="AO81" s="128">
        <f>7932+769701</f>
        <v>777633</v>
      </c>
      <c r="AP81" s="128">
        <f>SUM(7060,385923)</f>
        <v>392983</v>
      </c>
      <c r="AQ81" s="128">
        <f>7169+394329</f>
        <v>401498</v>
      </c>
      <c r="AR81" s="128">
        <f>5449+291696</f>
        <v>297145</v>
      </c>
      <c r="AS81" s="128">
        <f>7261+357486</f>
        <v>364747</v>
      </c>
      <c r="AT81" s="128">
        <f>6766+419512</f>
        <v>426278</v>
      </c>
      <c r="AU81" s="128">
        <f>7352+670960</f>
        <v>678312</v>
      </c>
      <c r="AV81" s="128">
        <f>10085+1505402</f>
        <v>1515487</v>
      </c>
      <c r="AW81" s="168">
        <f>14038+2226017</f>
        <v>2240055</v>
      </c>
      <c r="AX81" s="104">
        <f>12185+2050169</f>
        <v>2062354</v>
      </c>
      <c r="AY81" s="104">
        <f>12105+1879530</f>
        <v>1891635</v>
      </c>
      <c r="AZ81" s="104">
        <f>SUM(13768+1497640)</f>
        <v>1511408</v>
      </c>
      <c r="BA81" s="193">
        <v>670096</v>
      </c>
      <c r="BB81" s="193">
        <f>SUM(7358+330311)</f>
        <v>337669</v>
      </c>
      <c r="BC81" s="195">
        <f>SUM(6688+272928)</f>
        <v>279616</v>
      </c>
      <c r="BD81" s="104">
        <f>(6445+221841)</f>
        <v>228286</v>
      </c>
      <c r="BE81" s="104">
        <f>6710+271871</f>
        <v>278581</v>
      </c>
      <c r="BF81" s="104">
        <f>6977+293677</f>
        <v>300654</v>
      </c>
      <c r="BG81" s="195">
        <f>10465+682689</f>
        <v>693154</v>
      </c>
      <c r="BH81" s="195">
        <v>1218089</v>
      </c>
      <c r="BI81" s="168">
        <f t="shared" si="283"/>
        <v>367528</v>
      </c>
      <c r="BJ81" s="104">
        <f t="shared" si="284"/>
        <v>-44620</v>
      </c>
      <c r="BK81" s="104">
        <f t="shared" si="285"/>
        <v>202165</v>
      </c>
      <c r="BL81" s="104">
        <f t="shared" si="286"/>
        <v>-123078</v>
      </c>
      <c r="BM81" s="104">
        <f t="shared" si="286"/>
        <v>-107537</v>
      </c>
      <c r="BN81" s="104">
        <f t="shared" si="286"/>
        <v>-55314</v>
      </c>
      <c r="BO81" s="104">
        <f t="shared" si="286"/>
        <v>-121882</v>
      </c>
      <c r="BP81" s="104">
        <f t="shared" si="287"/>
        <v>-68859</v>
      </c>
      <c r="BQ81" s="104">
        <f t="shared" si="288"/>
        <v>-86166</v>
      </c>
      <c r="BR81" s="104">
        <f t="shared" si="289"/>
        <v>-125624</v>
      </c>
      <c r="BS81" s="104">
        <f t="shared" si="289"/>
        <v>14842</v>
      </c>
      <c r="BT81" s="106">
        <f t="shared" si="289"/>
        <v>-297398</v>
      </c>
      <c r="BU81" s="168">
        <f>15266+1494281</f>
        <v>1509547</v>
      </c>
      <c r="BV81" s="104">
        <f>16070+1616356</f>
        <v>1632426</v>
      </c>
      <c r="BW81" s="104">
        <v>1310528</v>
      </c>
      <c r="BX81" s="104">
        <f>13708+1128105</f>
        <v>1141813</v>
      </c>
      <c r="BY81" s="104">
        <f>12574+766814</f>
        <v>779388</v>
      </c>
      <c r="BZ81" s="193">
        <v>398788</v>
      </c>
      <c r="CA81" s="195">
        <v>291363</v>
      </c>
      <c r="CB81" s="104">
        <v>257846</v>
      </c>
      <c r="CC81" s="104">
        <v>268475</v>
      </c>
      <c r="CD81" s="104">
        <v>315956</v>
      </c>
      <c r="CE81" s="195">
        <v>670659</v>
      </c>
      <c r="CF81" s="214"/>
      <c r="CG81" s="168">
        <f t="shared" si="290"/>
        <v>1142019</v>
      </c>
      <c r="CH81" s="104">
        <f t="shared" si="291"/>
        <v>1677046</v>
      </c>
      <c r="CI81" s="104">
        <f t="shared" si="292"/>
        <v>1108363</v>
      </c>
      <c r="CJ81" s="104">
        <f t="shared" si="293"/>
        <v>1264891</v>
      </c>
      <c r="CK81" s="104">
        <f t="shared" si="294"/>
        <v>886925</v>
      </c>
      <c r="CL81" s="104">
        <f t="shared" si="295"/>
        <v>454102</v>
      </c>
      <c r="CM81" s="104">
        <f t="shared" si="296"/>
        <v>413245</v>
      </c>
      <c r="CN81" s="104">
        <f t="shared" si="297"/>
        <v>326705</v>
      </c>
      <c r="CO81" s="104">
        <f t="shared" si="298"/>
        <v>354641</v>
      </c>
      <c r="CP81" s="104">
        <f t="shared" si="299"/>
        <v>441580</v>
      </c>
      <c r="CQ81" s="104">
        <f t="shared" si="300"/>
        <v>655817</v>
      </c>
      <c r="CR81" s="106">
        <f t="shared" si="301"/>
        <v>297398</v>
      </c>
    </row>
    <row r="82" spans="1:96" x14ac:dyDescent="0.25">
      <c r="A82" s="49"/>
      <c r="B82" s="96" t="s">
        <v>36</v>
      </c>
      <c r="C82" s="138">
        <v>1375645</v>
      </c>
      <c r="D82" s="28">
        <v>923452</v>
      </c>
      <c r="E82" s="28">
        <v>464298</v>
      </c>
      <c r="F82" s="28">
        <v>262485</v>
      </c>
      <c r="G82" s="28">
        <v>183929</v>
      </c>
      <c r="H82" s="28">
        <v>161920</v>
      </c>
      <c r="I82" s="28">
        <v>174763</v>
      </c>
      <c r="J82" s="28">
        <v>203931</v>
      </c>
      <c r="K82" s="28">
        <v>442864</v>
      </c>
      <c r="L82" s="72">
        <v>1061728</v>
      </c>
      <c r="M82" s="138">
        <v>1471763</v>
      </c>
      <c r="N82" s="28">
        <v>1247966</v>
      </c>
      <c r="O82" s="28">
        <v>1100675</v>
      </c>
      <c r="P82" s="28">
        <f>682855+110187+41988+6360</f>
        <v>841390</v>
      </c>
      <c r="Q82" s="28">
        <f>434178+85533+34438+6329</f>
        <v>560478</v>
      </c>
      <c r="R82" s="28">
        <f>125956+51392+14156+4263</f>
        <v>195767</v>
      </c>
      <c r="S82" s="28">
        <f>107355+50009+9295+3687</f>
        <v>170346</v>
      </c>
      <c r="T82" s="28">
        <f>111049+53746+9623+3277</f>
        <v>177695</v>
      </c>
      <c r="U82" s="28">
        <v>144707.44</v>
      </c>
      <c r="V82" s="28">
        <f>122346+59566+14559+4388</f>
        <v>200859</v>
      </c>
      <c r="W82" s="28">
        <f>275228+78966+25972+6085</f>
        <v>386251</v>
      </c>
      <c r="X82" s="72">
        <f>652774+116589+51715+8403</f>
        <v>829481</v>
      </c>
      <c r="Y82" s="28">
        <f>1212268+176007+83451+12327</f>
        <v>1484053</v>
      </c>
      <c r="Z82" s="28">
        <f>1207448+167084+84662+10621</f>
        <v>1469815</v>
      </c>
      <c r="AA82" s="28">
        <f>1097889+149486+75864+10438</f>
        <v>1333677</v>
      </c>
      <c r="AB82" s="28">
        <f>673883+136876+53712+9062</f>
        <v>873533</v>
      </c>
      <c r="AC82" s="128">
        <v>492665</v>
      </c>
      <c r="AD82" s="128">
        <v>239363</v>
      </c>
      <c r="AE82" s="128">
        <f>109826+58079+13211+3935</f>
        <v>185051</v>
      </c>
      <c r="AF82" s="128">
        <f>109356+70402+9428+4329</f>
        <v>193515</v>
      </c>
      <c r="AG82" s="128">
        <f>133037+67232</f>
        <v>200269</v>
      </c>
      <c r="AH82" s="128">
        <f>116986+67108+13947+4660</f>
        <v>202701</v>
      </c>
      <c r="AI82" s="128">
        <f>294543+108274+28650+7431</f>
        <v>438898</v>
      </c>
      <c r="AJ82" s="128">
        <f>933457+175403+56307+10564</f>
        <v>1175731</v>
      </c>
      <c r="AK82" s="212">
        <f>1513953+209998+84173+14324</f>
        <v>1822448</v>
      </c>
      <c r="AL82" s="84">
        <f>1863582+227854+92306+13720</f>
        <v>2197462</v>
      </c>
      <c r="AM82" s="128">
        <f>1487967+201062+65317+11605</f>
        <v>1765951</v>
      </c>
      <c r="AN82" s="128">
        <f>1108862+204662+60567+13639</f>
        <v>1387730</v>
      </c>
      <c r="AO82" s="128">
        <f>460239+138468+30106+6234</f>
        <v>635047</v>
      </c>
      <c r="AP82" s="128">
        <f>SUM(243800,114659,16315,6720)</f>
        <v>381494</v>
      </c>
      <c r="AQ82" s="128">
        <f>170370+145657+14079+4067</f>
        <v>334173</v>
      </c>
      <c r="AR82" s="128">
        <f>82828+105498+11222+4908</f>
        <v>204456</v>
      </c>
      <c r="AS82" s="128">
        <f>139654+124567+11817+8560</f>
        <v>284598</v>
      </c>
      <c r="AT82" s="128">
        <f>228582+122531+16950+4594</f>
        <v>372657</v>
      </c>
      <c r="AU82" s="128">
        <f>342060+138943+25910+7951</f>
        <v>514864</v>
      </c>
      <c r="AV82" s="128">
        <f>990217+192246+56087+24406</f>
        <v>1262956</v>
      </c>
      <c r="AW82" s="168">
        <f>1576858+227806+79139+16669</f>
        <v>1900472</v>
      </c>
      <c r="AX82" s="104">
        <f>1590420+220998+83308+17003</f>
        <v>1911729</v>
      </c>
      <c r="AY82" s="104">
        <f>1382750+198857+75141+18258</f>
        <v>1675006</v>
      </c>
      <c r="AZ82" s="104">
        <f>SUM(1022914+185270+55952+14205)</f>
        <v>1278341</v>
      </c>
      <c r="BA82" s="193">
        <v>512298</v>
      </c>
      <c r="BB82" s="193">
        <f>SUM(166309+65428+19611+9196)</f>
        <v>260544</v>
      </c>
      <c r="BC82" s="195">
        <f>SUM(134888+62174+13563+6598)</f>
        <v>217223</v>
      </c>
      <c r="BD82" s="104">
        <f>(114424+49318+9897+4482)</f>
        <v>178121</v>
      </c>
      <c r="BE82" s="104">
        <f>109281+60476+14056+6000</f>
        <v>189813</v>
      </c>
      <c r="BF82" s="104">
        <f>119436+56186+15456+6943</f>
        <v>198021</v>
      </c>
      <c r="BG82" s="195">
        <f>314945+93567+33236+12195</f>
        <v>453943</v>
      </c>
      <c r="BH82" s="195">
        <v>1013476</v>
      </c>
      <c r="BI82" s="168">
        <f t="shared" si="283"/>
        <v>78024</v>
      </c>
      <c r="BJ82" s="104">
        <f t="shared" si="284"/>
        <v>-285733</v>
      </c>
      <c r="BK82" s="104">
        <f t="shared" si="285"/>
        <v>-90945</v>
      </c>
      <c r="BL82" s="104">
        <f t="shared" si="286"/>
        <v>-109389</v>
      </c>
      <c r="BM82" s="104">
        <f t="shared" si="286"/>
        <v>-122749</v>
      </c>
      <c r="BN82" s="104">
        <f t="shared" si="286"/>
        <v>-120950</v>
      </c>
      <c r="BO82" s="104">
        <f t="shared" si="286"/>
        <v>-116950</v>
      </c>
      <c r="BP82" s="104">
        <f t="shared" si="287"/>
        <v>-26335</v>
      </c>
      <c r="BQ82" s="104">
        <f t="shared" si="288"/>
        <v>-94785</v>
      </c>
      <c r="BR82" s="104">
        <f t="shared" si="289"/>
        <v>-174636</v>
      </c>
      <c r="BS82" s="104">
        <f t="shared" si="289"/>
        <v>-60921</v>
      </c>
      <c r="BT82" s="106">
        <f t="shared" si="289"/>
        <v>-249480</v>
      </c>
      <c r="BU82" s="168">
        <f>1060093+154929+100621+21015</f>
        <v>1336658</v>
      </c>
      <c r="BV82" s="104">
        <f>1205338+157269+96142+17736</f>
        <v>1476485</v>
      </c>
      <c r="BW82" s="104">
        <v>1173683</v>
      </c>
      <c r="BX82" s="104">
        <f>770152+131418+65667+9999</f>
        <v>977236</v>
      </c>
      <c r="BY82" s="104">
        <f>417036+122076+42184+11982</f>
        <v>593278</v>
      </c>
      <c r="BZ82" s="193">
        <v>302039</v>
      </c>
      <c r="CA82" s="195">
        <v>224996</v>
      </c>
      <c r="CB82" s="104">
        <v>226374</v>
      </c>
      <c r="CC82" s="104">
        <v>204133</v>
      </c>
      <c r="CD82" s="104">
        <v>247771</v>
      </c>
      <c r="CE82" s="195">
        <v>440178</v>
      </c>
      <c r="CF82" s="214"/>
      <c r="CG82" s="168">
        <f t="shared" si="290"/>
        <v>1258634</v>
      </c>
      <c r="CH82" s="104">
        <f t="shared" si="291"/>
        <v>1762218</v>
      </c>
      <c r="CI82" s="104">
        <f t="shared" si="292"/>
        <v>1264628</v>
      </c>
      <c r="CJ82" s="104">
        <f t="shared" si="293"/>
        <v>1086625</v>
      </c>
      <c r="CK82" s="104">
        <f t="shared" si="294"/>
        <v>716027</v>
      </c>
      <c r="CL82" s="104">
        <f t="shared" si="295"/>
        <v>422989</v>
      </c>
      <c r="CM82" s="104">
        <f t="shared" si="296"/>
        <v>341946</v>
      </c>
      <c r="CN82" s="104">
        <f t="shared" si="297"/>
        <v>252709</v>
      </c>
      <c r="CO82" s="104">
        <f t="shared" si="298"/>
        <v>298918</v>
      </c>
      <c r="CP82" s="104">
        <f t="shared" si="299"/>
        <v>422407</v>
      </c>
      <c r="CQ82" s="104">
        <f t="shared" si="300"/>
        <v>501099</v>
      </c>
      <c r="CR82" s="106">
        <f t="shared" si="301"/>
        <v>249480</v>
      </c>
    </row>
    <row r="83" spans="1:96" x14ac:dyDescent="0.25">
      <c r="A83" s="49"/>
      <c r="B83" s="96" t="s">
        <v>37</v>
      </c>
      <c r="C83" s="138">
        <v>1666953</v>
      </c>
      <c r="D83" s="28">
        <v>1501755</v>
      </c>
      <c r="E83" s="28">
        <v>726742</v>
      </c>
      <c r="F83" s="28">
        <v>-52742</v>
      </c>
      <c r="G83" s="28">
        <v>186325</v>
      </c>
      <c r="H83" s="28">
        <v>169635</v>
      </c>
      <c r="I83" s="28">
        <v>207469</v>
      </c>
      <c r="J83" s="28">
        <v>242404</v>
      </c>
      <c r="K83" s="28">
        <v>626174</v>
      </c>
      <c r="L83" s="72">
        <v>1231489</v>
      </c>
      <c r="M83" s="138">
        <v>1713085</v>
      </c>
      <c r="N83" s="28">
        <v>1512733</v>
      </c>
      <c r="O83" s="28">
        <v>1355241</v>
      </c>
      <c r="P83" s="28">
        <f>597439+143085+288361+76303</f>
        <v>1105188</v>
      </c>
      <c r="Q83" s="28">
        <f>385529+104745+208367+63659</f>
        <v>762300</v>
      </c>
      <c r="R83" s="28">
        <f>92999+61289+56147+38909</f>
        <v>249344</v>
      </c>
      <c r="S83" s="28">
        <f>31184+62380+62201+29845</f>
        <v>185610</v>
      </c>
      <c r="T83" s="28">
        <f>32927+71177+43916+31766</f>
        <v>179786</v>
      </c>
      <c r="U83" s="28">
        <v>130804.54</v>
      </c>
      <c r="V83" s="28">
        <f>59151+80752+76514+47331</f>
        <v>263748</v>
      </c>
      <c r="W83" s="28">
        <f>191971+117843+166442+60902</f>
        <v>537158</v>
      </c>
      <c r="X83" s="72">
        <f>504457+175100+305773+83493</f>
        <v>1068823</v>
      </c>
      <c r="Y83" s="28">
        <f>923302+253619+536663+137901</f>
        <v>1851485</v>
      </c>
      <c r="Z83" s="28">
        <f>842890+210783+488628+123314</f>
        <v>1665615</v>
      </c>
      <c r="AA83" s="28">
        <f>815122+220332+471433+121351</f>
        <v>1628238</v>
      </c>
      <c r="AB83" s="28">
        <f>537714+200004+364274+112556</f>
        <v>1214548</v>
      </c>
      <c r="AC83" s="128">
        <v>696013</v>
      </c>
      <c r="AD83" s="128">
        <f>82369.35+88720.62+103733.33+57211.11</f>
        <v>332034.40999999997</v>
      </c>
      <c r="AE83" s="128">
        <f>64963+73916+45633+40702</f>
        <v>225214</v>
      </c>
      <c r="AF83" s="128">
        <f>28764+104445+54954+33916</f>
        <v>222079</v>
      </c>
      <c r="AG83" s="128">
        <f>43211+82329</f>
        <v>125540</v>
      </c>
      <c r="AH83" s="128">
        <f>2540+95415+61442+49533</f>
        <v>208930</v>
      </c>
      <c r="AI83" s="128">
        <f>286061+172404+171554+65014</f>
        <v>695033</v>
      </c>
      <c r="AJ83" s="128">
        <f>822293+252920+354503+114295</f>
        <v>1544011</v>
      </c>
      <c r="AK83" s="212">
        <f>1054679+308672+526518+132432</f>
        <v>2022301</v>
      </c>
      <c r="AL83" s="84">
        <f>1391958+334861+571477+134540</f>
        <v>2432836</v>
      </c>
      <c r="AM83" s="128">
        <f>1104943+309007+490898+118743</f>
        <v>2023591</v>
      </c>
      <c r="AN83" s="128">
        <f>985094+374645+423473+118238</f>
        <v>1901450</v>
      </c>
      <c r="AO83" s="128">
        <f>507062+222711+203217+72282</f>
        <v>1005272</v>
      </c>
      <c r="AP83" s="128">
        <f>SUM(133468,179896,132875,54740)</f>
        <v>500979</v>
      </c>
      <c r="AQ83" s="128">
        <f>92208+183397+44557+44584</f>
        <v>364746</v>
      </c>
      <c r="AR83" s="128">
        <f>72778+218700+38545+40035</f>
        <v>370058</v>
      </c>
      <c r="AS83" s="128">
        <f>79740+200897+42985+45518</f>
        <v>369140</v>
      </c>
      <c r="AT83" s="128">
        <f>146513+192801+89160+50957</f>
        <v>479431</v>
      </c>
      <c r="AU83" s="128">
        <f>269869+214628+165934+60341</f>
        <v>710772</v>
      </c>
      <c r="AV83" s="128">
        <f>815632+298813+368004+97730</f>
        <v>1580179</v>
      </c>
      <c r="AW83" s="168">
        <f>1189046+330438+500596+128095</f>
        <v>2148175</v>
      </c>
      <c r="AX83" s="104">
        <f>1217621+315037+502840+121702</f>
        <v>2157200</v>
      </c>
      <c r="AY83" s="104">
        <f>1009393+308059+491367+116995</f>
        <v>1925814</v>
      </c>
      <c r="AZ83" s="104">
        <f>SUM(804099+259551+371929+93290)</f>
        <v>1528869</v>
      </c>
      <c r="BA83" s="193">
        <v>570772</v>
      </c>
      <c r="BB83" s="193">
        <f>SUM(88284+91844+132062+74702)</f>
        <v>386892</v>
      </c>
      <c r="BC83" s="195">
        <f>SUM(17921+80118+68382+49596)</f>
        <v>216017</v>
      </c>
      <c r="BD83" s="104">
        <f>(32908+74940+41597+38834)</f>
        <v>188279</v>
      </c>
      <c r="BE83" s="104">
        <f>38779+83398+53774+51756</f>
        <v>227707</v>
      </c>
      <c r="BF83" s="104">
        <f>73210+56344+78628+47374</f>
        <v>255556</v>
      </c>
      <c r="BG83" s="195">
        <f>210167+129412+200618+62555</f>
        <v>602752</v>
      </c>
      <c r="BH83" s="195">
        <v>1238016</v>
      </c>
      <c r="BI83" s="168">
        <f t="shared" si="283"/>
        <v>125874</v>
      </c>
      <c r="BJ83" s="104">
        <f t="shared" si="284"/>
        <v>-275636</v>
      </c>
      <c r="BK83" s="104">
        <f t="shared" si="285"/>
        <v>-97777</v>
      </c>
      <c r="BL83" s="104">
        <f t="shared" si="286"/>
        <v>-372581</v>
      </c>
      <c r="BM83" s="104">
        <f t="shared" si="286"/>
        <v>-434500</v>
      </c>
      <c r="BN83" s="104">
        <f t="shared" si="286"/>
        <v>-114087</v>
      </c>
      <c r="BO83" s="104">
        <f t="shared" si="286"/>
        <v>-148729</v>
      </c>
      <c r="BP83" s="104">
        <f t="shared" si="287"/>
        <v>-181779</v>
      </c>
      <c r="BQ83" s="104">
        <f t="shared" si="288"/>
        <v>-141433</v>
      </c>
      <c r="BR83" s="104">
        <f t="shared" si="289"/>
        <v>-223875</v>
      </c>
      <c r="BS83" s="104">
        <f t="shared" si="289"/>
        <v>-108020</v>
      </c>
      <c r="BT83" s="106">
        <f t="shared" si="289"/>
        <v>-342163</v>
      </c>
      <c r="BU83" s="168">
        <f>728165+211481+407414+115901</f>
        <v>1462961</v>
      </c>
      <c r="BV83" s="104">
        <f>831785+219616+491877+131073</f>
        <v>1674351</v>
      </c>
      <c r="BW83" s="104">
        <v>1374264</v>
      </c>
      <c r="BX83" s="104">
        <f>605586+175544+387178+107718</f>
        <v>1276026</v>
      </c>
      <c r="BY83" s="104">
        <f>1062187+362451+239596+87406</f>
        <v>1751640</v>
      </c>
      <c r="BZ83" s="193">
        <v>482047</v>
      </c>
      <c r="CA83" s="195">
        <v>325539</v>
      </c>
      <c r="CB83" s="104">
        <v>336825</v>
      </c>
      <c r="CC83" s="104">
        <v>212507</v>
      </c>
      <c r="CD83" s="104">
        <v>294300</v>
      </c>
      <c r="CE83" s="195">
        <v>683790</v>
      </c>
      <c r="CF83" s="214"/>
      <c r="CG83" s="168">
        <f t="shared" si="290"/>
        <v>1337087</v>
      </c>
      <c r="CH83" s="104">
        <f t="shared" si="291"/>
        <v>1949987</v>
      </c>
      <c r="CI83" s="104">
        <f t="shared" si="292"/>
        <v>1472041</v>
      </c>
      <c r="CJ83" s="104">
        <f t="shared" si="293"/>
        <v>1648607</v>
      </c>
      <c r="CK83" s="104">
        <f t="shared" si="294"/>
        <v>2186140</v>
      </c>
      <c r="CL83" s="104">
        <f t="shared" si="295"/>
        <v>596134</v>
      </c>
      <c r="CM83" s="104">
        <f t="shared" si="296"/>
        <v>474268</v>
      </c>
      <c r="CN83" s="104">
        <f t="shared" si="297"/>
        <v>518604</v>
      </c>
      <c r="CO83" s="104">
        <f t="shared" si="298"/>
        <v>353940</v>
      </c>
      <c r="CP83" s="104">
        <f t="shared" si="299"/>
        <v>518175</v>
      </c>
      <c r="CQ83" s="104">
        <f t="shared" si="300"/>
        <v>791810</v>
      </c>
      <c r="CR83" s="106">
        <f t="shared" si="301"/>
        <v>342163</v>
      </c>
    </row>
    <row r="84" spans="1:96" x14ac:dyDescent="0.25">
      <c r="A84" s="49"/>
      <c r="B84" s="96" t="s">
        <v>38</v>
      </c>
      <c r="C84" s="138">
        <v>409398</v>
      </c>
      <c r="D84" s="28">
        <v>272619</v>
      </c>
      <c r="E84" s="28">
        <v>206669</v>
      </c>
      <c r="F84" s="28">
        <v>170691</v>
      </c>
      <c r="G84" s="28">
        <v>184866</v>
      </c>
      <c r="H84" s="28">
        <v>165594</v>
      </c>
      <c r="I84" s="28">
        <v>138728</v>
      </c>
      <c r="J84" s="28">
        <v>186073</v>
      </c>
      <c r="K84" s="28">
        <v>250238</v>
      </c>
      <c r="L84" s="72">
        <v>315212</v>
      </c>
      <c r="M84" s="138">
        <v>332792</v>
      </c>
      <c r="N84" s="28">
        <v>267787</v>
      </c>
      <c r="O84" s="28">
        <v>289423</v>
      </c>
      <c r="P84" s="28">
        <f>41169+117515+28457+136309</f>
        <v>323450</v>
      </c>
      <c r="Q84" s="28">
        <f>7547+33835+16815+130936</f>
        <v>189133</v>
      </c>
      <c r="R84" s="28">
        <f>2279+57537+8449+113397</f>
        <v>181662</v>
      </c>
      <c r="S84" s="28">
        <f>1855+43977+6207+127758</f>
        <v>179797</v>
      </c>
      <c r="T84" s="28">
        <f>4565+51519-3774+123637</f>
        <v>175947</v>
      </c>
      <c r="U84" s="28">
        <v>191095.52</v>
      </c>
      <c r="V84" s="28">
        <f>2746+33258+10676+142905</f>
        <v>189585</v>
      </c>
      <c r="W84" s="28">
        <f>9178+49349+17008+187781</f>
        <v>263316</v>
      </c>
      <c r="X84" s="72">
        <f>27975+103900+27875+198848</f>
        <v>358598</v>
      </c>
      <c r="Y84" s="28">
        <f>101569+95261+49125+219382</f>
        <v>465337</v>
      </c>
      <c r="Z84" s="28">
        <f>38809+94383+36378+197950</f>
        <v>367520</v>
      </c>
      <c r="AA84" s="28">
        <f>72203+71858+25601+195902</f>
        <v>365564</v>
      </c>
      <c r="AB84" s="28">
        <f>46209+78554+18094+176639</f>
        <v>319496</v>
      </c>
      <c r="AC84" s="128">
        <v>480829</v>
      </c>
      <c r="AD84" s="128">
        <f>11588.77+53320.61+9252.72</f>
        <v>74162.100000000006</v>
      </c>
      <c r="AE84" s="128">
        <f>3578+21320+3020+146418</f>
        <v>174336</v>
      </c>
      <c r="AF84" s="128">
        <f>2771+84727+3589+134951</f>
        <v>226038</v>
      </c>
      <c r="AG84" s="128">
        <f>3412+36042</f>
        <v>39454</v>
      </c>
      <c r="AH84" s="128">
        <f>6746+34031+6367+147351</f>
        <v>194495</v>
      </c>
      <c r="AI84" s="128">
        <f>-2393+161055+7786+155066</f>
        <v>321514</v>
      </c>
      <c r="AJ84" s="128">
        <f>24407+163040+26879+217696</f>
        <v>432022</v>
      </c>
      <c r="AK84" s="212">
        <f>108444+70293+40592+227583</f>
        <v>446912</v>
      </c>
      <c r="AL84" s="84">
        <f>74059+191266+74028+245237</f>
        <v>584590</v>
      </c>
      <c r="AM84" s="128">
        <f>-38989+90717+50369+227554</f>
        <v>329651</v>
      </c>
      <c r="AN84" s="128">
        <f>35554+72185+31175+227074</f>
        <v>365988</v>
      </c>
      <c r="AO84" s="128">
        <f>14430+276988+20970+199979</f>
        <v>512367</v>
      </c>
      <c r="AP84" s="128">
        <f>SUM(5214,149432,10341,168925)</f>
        <v>333912</v>
      </c>
      <c r="AQ84" s="128">
        <f>8192+18588+4065+153169</f>
        <v>184014</v>
      </c>
      <c r="AR84" s="128">
        <f>3826+272270+3828+152215</f>
        <v>432139</v>
      </c>
      <c r="AS84" s="128">
        <f>9896+226869+2039+59225</f>
        <v>298029</v>
      </c>
      <c r="AT84" s="128">
        <f>6306+168231+4065+227590</f>
        <v>406192</v>
      </c>
      <c r="AU84" s="128">
        <f>12487+149157+8591+151492</f>
        <v>321727</v>
      </c>
      <c r="AV84" s="128">
        <f>89000+19897+239296+35903</f>
        <v>384096</v>
      </c>
      <c r="AW84" s="168">
        <f>57523+82229+43147+193621</f>
        <v>376520</v>
      </c>
      <c r="AX84" s="104">
        <f>43481+185743+58225+73289</f>
        <v>360738</v>
      </c>
      <c r="AY84" s="104">
        <f>55958+81023+44423+301918</f>
        <v>483322</v>
      </c>
      <c r="AZ84" s="104">
        <f>SUM(7712+12832+38043+185124)</f>
        <v>243711</v>
      </c>
      <c r="BA84" s="193">
        <v>264568</v>
      </c>
      <c r="BB84" s="193">
        <f>SUM(5847+76541+13597+217663)</f>
        <v>313648</v>
      </c>
      <c r="BC84" s="195">
        <f>SUM(6216+12276+7651+156931)</f>
        <v>183074</v>
      </c>
      <c r="BD84" s="104">
        <f>(4736+9760+31857+109398)</f>
        <v>155751</v>
      </c>
      <c r="BE84" s="104">
        <f>6188+57273+3395+91172</f>
        <v>158028</v>
      </c>
      <c r="BF84" s="104">
        <f>3294+53122+2806+273687</f>
        <v>332909</v>
      </c>
      <c r="BG84" s="195">
        <f>4115+157190+9291+6923</f>
        <v>177519</v>
      </c>
      <c r="BH84" s="195">
        <v>180875</v>
      </c>
      <c r="BI84" s="168">
        <f t="shared" si="283"/>
        <v>-70392</v>
      </c>
      <c r="BJ84" s="104">
        <f t="shared" si="284"/>
        <v>-223852</v>
      </c>
      <c r="BK84" s="104">
        <f t="shared" si="285"/>
        <v>153671</v>
      </c>
      <c r="BL84" s="104">
        <f t="shared" si="286"/>
        <v>-122277</v>
      </c>
      <c r="BM84" s="104">
        <f t="shared" si="286"/>
        <v>-247799</v>
      </c>
      <c r="BN84" s="104">
        <f t="shared" si="286"/>
        <v>-20264</v>
      </c>
      <c r="BO84" s="104">
        <f t="shared" si="286"/>
        <v>-940</v>
      </c>
      <c r="BP84" s="104">
        <f t="shared" si="287"/>
        <v>-276388</v>
      </c>
      <c r="BQ84" s="104">
        <f t="shared" si="288"/>
        <v>-140001</v>
      </c>
      <c r="BR84" s="104">
        <f t="shared" si="289"/>
        <v>-73283</v>
      </c>
      <c r="BS84" s="104">
        <f t="shared" si="289"/>
        <v>-144208</v>
      </c>
      <c r="BT84" s="106">
        <f t="shared" si="289"/>
        <v>-203221</v>
      </c>
      <c r="BU84" s="168">
        <f>14176+74335+53578+158341</f>
        <v>300430</v>
      </c>
      <c r="BV84" s="104">
        <f>14849+91065+291316-11721</f>
        <v>385509</v>
      </c>
      <c r="BW84" s="104">
        <v>469559</v>
      </c>
      <c r="BX84" s="104">
        <f>11765+81431+43767+196901</f>
        <v>333864</v>
      </c>
      <c r="BY84" s="104">
        <f>34241+62151+23245+190045</f>
        <v>309682</v>
      </c>
      <c r="BZ84" s="193">
        <v>256577</v>
      </c>
      <c r="CA84" s="195">
        <v>294100</v>
      </c>
      <c r="CB84" s="104">
        <v>277874</v>
      </c>
      <c r="CC84" s="104">
        <v>240436</v>
      </c>
      <c r="CD84" s="104">
        <v>433164</v>
      </c>
      <c r="CE84" s="195">
        <v>339141</v>
      </c>
      <c r="CF84" s="214"/>
      <c r="CG84" s="168">
        <f t="shared" si="290"/>
        <v>370822</v>
      </c>
      <c r="CH84" s="104">
        <f t="shared" si="291"/>
        <v>609361</v>
      </c>
      <c r="CI84" s="104">
        <f t="shared" si="292"/>
        <v>315888</v>
      </c>
      <c r="CJ84" s="104">
        <f t="shared" si="293"/>
        <v>456141</v>
      </c>
      <c r="CK84" s="104">
        <f t="shared" si="294"/>
        <v>557481</v>
      </c>
      <c r="CL84" s="104">
        <f t="shared" si="295"/>
        <v>276841</v>
      </c>
      <c r="CM84" s="104">
        <f t="shared" si="296"/>
        <v>295040</v>
      </c>
      <c r="CN84" s="104">
        <f t="shared" si="297"/>
        <v>554262</v>
      </c>
      <c r="CO84" s="104">
        <f t="shared" si="298"/>
        <v>380437</v>
      </c>
      <c r="CP84" s="104">
        <f t="shared" si="299"/>
        <v>506447</v>
      </c>
      <c r="CQ84" s="104">
        <f t="shared" si="300"/>
        <v>483349</v>
      </c>
      <c r="CR84" s="106">
        <f t="shared" si="301"/>
        <v>203221</v>
      </c>
    </row>
    <row r="85" spans="1:96" x14ac:dyDescent="0.25">
      <c r="A85" s="49"/>
      <c r="B85" s="96" t="s">
        <v>39</v>
      </c>
      <c r="C85" s="138">
        <f>SUM(C80:C84)</f>
        <v>12106135</v>
      </c>
      <c r="D85" s="28">
        <f>SUM(D80:D84)</f>
        <v>9039383</v>
      </c>
      <c r="E85" s="28">
        <f t="shared" ref="E85:T85" si="302">SUM(E80:E84)</f>
        <v>4742032</v>
      </c>
      <c r="F85" s="28">
        <f t="shared" si="302"/>
        <v>2303947</v>
      </c>
      <c r="G85" s="28">
        <f t="shared" si="302"/>
        <v>1945164</v>
      </c>
      <c r="H85" s="28">
        <f t="shared" si="302"/>
        <v>1756618</v>
      </c>
      <c r="I85" s="28">
        <f t="shared" si="302"/>
        <v>1805710</v>
      </c>
      <c r="J85" s="28">
        <f t="shared" si="302"/>
        <v>2062500</v>
      </c>
      <c r="K85" s="28">
        <f t="shared" si="302"/>
        <v>4734828</v>
      </c>
      <c r="L85" s="72">
        <f t="shared" si="302"/>
        <v>9731684</v>
      </c>
      <c r="M85" s="138">
        <f t="shared" si="302"/>
        <v>12809442</v>
      </c>
      <c r="N85" s="28">
        <f t="shared" si="302"/>
        <v>11104485</v>
      </c>
      <c r="O85" s="28">
        <f t="shared" si="302"/>
        <v>10101706</v>
      </c>
      <c r="P85" s="28">
        <f t="shared" si="302"/>
        <v>8356125</v>
      </c>
      <c r="Q85" s="28">
        <f t="shared" si="302"/>
        <v>6172402</v>
      </c>
      <c r="R85" s="28">
        <f t="shared" si="302"/>
        <v>2476216</v>
      </c>
      <c r="S85" s="28">
        <f t="shared" si="302"/>
        <v>1921778</v>
      </c>
      <c r="T85" s="28">
        <f t="shared" si="302"/>
        <v>1896715</v>
      </c>
      <c r="U85" s="28">
        <f t="shared" ref="U85:AC85" si="303">SUM(U80:U84)</f>
        <v>1826069.8900000001</v>
      </c>
      <c r="V85" s="28">
        <f t="shared" si="303"/>
        <v>2280546</v>
      </c>
      <c r="W85" s="28">
        <f t="shared" si="303"/>
        <v>4267121</v>
      </c>
      <c r="X85" s="72">
        <f t="shared" si="303"/>
        <v>8383009</v>
      </c>
      <c r="Y85" s="28">
        <f t="shared" si="303"/>
        <v>13584399</v>
      </c>
      <c r="Z85" s="28">
        <f t="shared" si="303"/>
        <v>12832479</v>
      </c>
      <c r="AA85" s="28">
        <f t="shared" si="303"/>
        <v>12012718</v>
      </c>
      <c r="AB85" s="28">
        <f t="shared" si="303"/>
        <v>8550153</v>
      </c>
      <c r="AC85" s="28">
        <f t="shared" si="303"/>
        <v>5394988</v>
      </c>
      <c r="AD85" s="28">
        <f t="shared" ref="AD85:AI85" si="304">SUM(AD80:AD84)</f>
        <v>2577922.06</v>
      </c>
      <c r="AE85" s="28">
        <f t="shared" si="304"/>
        <v>2014920</v>
      </c>
      <c r="AF85" s="28">
        <f t="shared" si="304"/>
        <v>2179490</v>
      </c>
      <c r="AG85" s="28">
        <f t="shared" si="304"/>
        <v>1802581</v>
      </c>
      <c r="AH85" s="28">
        <f t="shared" si="304"/>
        <v>2126260</v>
      </c>
      <c r="AI85" s="28">
        <f t="shared" si="304"/>
        <v>4870785</v>
      </c>
      <c r="AJ85" s="28">
        <f>SUM(AJ80:AJ84)</f>
        <v>11876216</v>
      </c>
      <c r="AK85" s="138">
        <f>SUM(AK80:AK84)</f>
        <v>16546586</v>
      </c>
      <c r="AL85" s="28">
        <f>SUM(AL80:AL84)</f>
        <v>19209882</v>
      </c>
      <c r="AM85" s="28">
        <f t="shared" ref="AM85:AR85" si="305">SUM(AM80:AM84)</f>
        <v>15266945</v>
      </c>
      <c r="AN85" s="28">
        <f t="shared" si="305"/>
        <v>13429196</v>
      </c>
      <c r="AO85" s="28">
        <f t="shared" si="305"/>
        <v>6966701</v>
      </c>
      <c r="AP85" s="28">
        <f t="shared" si="305"/>
        <v>3838433</v>
      </c>
      <c r="AQ85" s="28">
        <f t="shared" si="305"/>
        <v>3460026</v>
      </c>
      <c r="AR85" s="28">
        <f t="shared" si="305"/>
        <v>2956767</v>
      </c>
      <c r="AS85" s="28">
        <f t="shared" ref="AS85:AX85" si="306">SUM(AS80:AS84)</f>
        <v>3092288</v>
      </c>
      <c r="AT85" s="28">
        <f t="shared" si="306"/>
        <v>3758765</v>
      </c>
      <c r="AU85" s="28">
        <f t="shared" si="306"/>
        <v>5412358</v>
      </c>
      <c r="AV85" s="28">
        <f t="shared" si="306"/>
        <v>12423415</v>
      </c>
      <c r="AW85" s="168">
        <f t="shared" si="306"/>
        <v>17443390</v>
      </c>
      <c r="AX85" s="104">
        <f t="shared" si="306"/>
        <v>16702410</v>
      </c>
      <c r="AY85" s="105">
        <f t="shared" ref="AY85:BD85" si="307">SUM(AY80:AY84)</f>
        <v>15308181</v>
      </c>
      <c r="AZ85" s="104">
        <f t="shared" si="307"/>
        <v>11692252</v>
      </c>
      <c r="BA85" s="104">
        <f t="shared" si="307"/>
        <v>5117380</v>
      </c>
      <c r="BB85" s="104">
        <f t="shared" si="307"/>
        <v>3076275</v>
      </c>
      <c r="BC85" s="104">
        <f t="shared" si="307"/>
        <v>2294760</v>
      </c>
      <c r="BD85" s="104">
        <f t="shared" si="307"/>
        <v>1891536</v>
      </c>
      <c r="BE85" s="104">
        <f>SUM(BE80:BE84)</f>
        <v>2142382</v>
      </c>
      <c r="BF85" s="104">
        <f>SUM(BF80:BF84)</f>
        <v>2448196</v>
      </c>
      <c r="BG85" s="104">
        <f>SUM(BG80:BG84)</f>
        <v>4715428</v>
      </c>
      <c r="BH85" s="104">
        <f>SUM(BH80:BH84)</f>
        <v>9459514</v>
      </c>
      <c r="BI85" s="168">
        <f t="shared" si="283"/>
        <v>896804</v>
      </c>
      <c r="BJ85" s="104">
        <f t="shared" si="284"/>
        <v>-2507472</v>
      </c>
      <c r="BK85" s="104">
        <f t="shared" si="285"/>
        <v>41236</v>
      </c>
      <c r="BL85" s="104">
        <f t="shared" si="286"/>
        <v>-1736944</v>
      </c>
      <c r="BM85" s="104">
        <f t="shared" si="286"/>
        <v>-1849321</v>
      </c>
      <c r="BN85" s="104">
        <f t="shared" si="286"/>
        <v>-762158</v>
      </c>
      <c r="BO85" s="104">
        <f t="shared" si="286"/>
        <v>-1165266</v>
      </c>
      <c r="BP85" s="104">
        <f t="shared" si="287"/>
        <v>-1065231</v>
      </c>
      <c r="BQ85" s="104">
        <f t="shared" si="288"/>
        <v>-949906</v>
      </c>
      <c r="BR85" s="104">
        <f t="shared" si="289"/>
        <v>-1310569</v>
      </c>
      <c r="BS85" s="104">
        <f t="shared" si="289"/>
        <v>-696930</v>
      </c>
      <c r="BT85" s="106">
        <f t="shared" si="289"/>
        <v>-2963901</v>
      </c>
      <c r="BU85" s="168">
        <f t="shared" ref="BU85:CB85" si="308">SUM(BU80:BU84)</f>
        <v>11634565</v>
      </c>
      <c r="BV85" s="104">
        <f t="shared" si="308"/>
        <v>12822754</v>
      </c>
      <c r="BW85" s="104">
        <f t="shared" si="308"/>
        <v>10765363</v>
      </c>
      <c r="BX85" s="104">
        <f t="shared" si="308"/>
        <v>8897178</v>
      </c>
      <c r="BY85" s="104">
        <f t="shared" si="308"/>
        <v>6830424</v>
      </c>
      <c r="BZ85" s="104">
        <v>3451339</v>
      </c>
      <c r="CA85" s="104">
        <f t="shared" si="308"/>
        <v>2647514</v>
      </c>
      <c r="CB85" s="104">
        <f t="shared" si="308"/>
        <v>2466112</v>
      </c>
      <c r="CC85" s="104">
        <f>SUM(CC80:CC84)</f>
        <v>2305802</v>
      </c>
      <c r="CD85" s="104">
        <f>SUM(CD80:CD84)</f>
        <v>2833233</v>
      </c>
      <c r="CE85" s="104">
        <f>SUM(CE80:CE84)</f>
        <v>5178891</v>
      </c>
      <c r="CF85" s="106">
        <f>SUM(CF80:CF84)</f>
        <v>0</v>
      </c>
      <c r="CG85" s="168">
        <f t="shared" si="290"/>
        <v>10737761</v>
      </c>
      <c r="CH85" s="104">
        <f t="shared" si="291"/>
        <v>15330226</v>
      </c>
      <c r="CI85" s="104">
        <f t="shared" si="292"/>
        <v>10724127</v>
      </c>
      <c r="CJ85" s="104">
        <f t="shared" si="293"/>
        <v>10634122</v>
      </c>
      <c r="CK85" s="104">
        <f t="shared" si="294"/>
        <v>8679745</v>
      </c>
      <c r="CL85" s="104">
        <f t="shared" si="295"/>
        <v>4213497</v>
      </c>
      <c r="CM85" s="104">
        <f t="shared" si="296"/>
        <v>3812780</v>
      </c>
      <c r="CN85" s="104">
        <f t="shared" si="297"/>
        <v>3531343</v>
      </c>
      <c r="CO85" s="104">
        <f t="shared" si="298"/>
        <v>3255708</v>
      </c>
      <c r="CP85" s="104">
        <f t="shared" si="299"/>
        <v>4143802</v>
      </c>
      <c r="CQ85" s="104">
        <f t="shared" si="300"/>
        <v>5875821</v>
      </c>
      <c r="CR85" s="106">
        <f t="shared" si="301"/>
        <v>2963901</v>
      </c>
    </row>
    <row r="86" spans="1:96" x14ac:dyDescent="0.25">
      <c r="A86" s="49">
        <f>+A79+1</f>
        <v>12</v>
      </c>
      <c r="B86" s="103" t="s">
        <v>43</v>
      </c>
      <c r="C86" s="137"/>
      <c r="D86" s="69"/>
      <c r="E86" s="69"/>
      <c r="F86" s="69"/>
      <c r="G86" s="69"/>
      <c r="H86" s="69"/>
      <c r="I86" s="69"/>
      <c r="J86" s="69"/>
      <c r="K86" s="69"/>
      <c r="L86" s="73"/>
      <c r="M86" s="137"/>
      <c r="N86" s="69"/>
      <c r="O86" s="69"/>
      <c r="P86" s="69"/>
      <c r="Q86" s="69"/>
      <c r="R86" s="69"/>
      <c r="S86" s="69"/>
      <c r="T86" s="69"/>
      <c r="U86" s="69"/>
      <c r="V86" s="69"/>
      <c r="W86" s="69"/>
      <c r="X86" s="73"/>
      <c r="Y86" s="69"/>
      <c r="Z86" s="69"/>
      <c r="AA86" s="69"/>
      <c r="AB86" s="69"/>
      <c r="AC86" s="69"/>
      <c r="AD86" s="69"/>
      <c r="AE86" s="69"/>
      <c r="AF86" s="69"/>
      <c r="AG86" s="69"/>
      <c r="AH86" s="69"/>
      <c r="AI86" s="69"/>
      <c r="AJ86" s="69"/>
      <c r="AK86" s="137"/>
      <c r="AL86" s="69"/>
      <c r="AM86" s="69"/>
      <c r="AN86" s="69"/>
      <c r="AO86" s="69"/>
      <c r="AP86" s="69"/>
      <c r="AQ86" s="69"/>
      <c r="AR86" s="69"/>
      <c r="AS86" s="69"/>
      <c r="AT86" s="69"/>
      <c r="AU86" s="69"/>
      <c r="AV86" s="69"/>
      <c r="AW86" s="170"/>
      <c r="AX86" s="44"/>
      <c r="AY86" s="44"/>
      <c r="AZ86" s="44"/>
      <c r="BA86" s="44"/>
      <c r="BB86" s="44"/>
      <c r="BC86" s="44"/>
      <c r="BD86" s="44"/>
      <c r="BE86" s="44"/>
      <c r="BF86" s="44"/>
      <c r="BG86" s="44"/>
      <c r="BH86" s="97"/>
      <c r="BI86" s="170"/>
      <c r="BJ86" s="44"/>
      <c r="BK86" s="44"/>
      <c r="BL86" s="44"/>
      <c r="BM86" s="44"/>
      <c r="BN86" s="44"/>
      <c r="BO86" s="44"/>
      <c r="BP86" s="44"/>
      <c r="BQ86" s="44"/>
      <c r="BR86" s="44"/>
      <c r="BS86" s="44"/>
      <c r="BT86" s="97"/>
      <c r="BU86" s="170"/>
      <c r="BV86" s="44"/>
      <c r="BW86" s="44"/>
      <c r="BX86" s="44"/>
      <c r="BY86" s="44"/>
      <c r="BZ86" s="44"/>
      <c r="CA86" s="44"/>
      <c r="CB86" s="44"/>
      <c r="CC86" s="44"/>
      <c r="CD86" s="44"/>
      <c r="CE86" s="44"/>
      <c r="CF86" s="97"/>
      <c r="CG86" s="170"/>
      <c r="CH86" s="44"/>
      <c r="CI86" s="44"/>
      <c r="CJ86" s="44"/>
      <c r="CK86" s="44"/>
      <c r="CL86" s="44"/>
      <c r="CM86" s="44"/>
      <c r="CN86" s="44"/>
      <c r="CO86" s="44"/>
      <c r="CP86" s="44"/>
      <c r="CQ86" s="44"/>
      <c r="CR86" s="97"/>
    </row>
    <row r="87" spans="1:96" x14ac:dyDescent="0.25">
      <c r="A87" s="49"/>
      <c r="B87" s="96" t="s">
        <v>34</v>
      </c>
      <c r="C87" s="139"/>
      <c r="D87" s="84"/>
      <c r="E87" s="84"/>
      <c r="F87" s="84"/>
      <c r="G87" s="84"/>
      <c r="H87" s="84"/>
      <c r="I87" s="84"/>
      <c r="J87" s="84"/>
      <c r="K87" s="84"/>
      <c r="L87" s="140"/>
      <c r="M87" s="139"/>
      <c r="N87" s="84"/>
      <c r="O87" s="84"/>
      <c r="P87" s="84"/>
      <c r="Q87" s="84"/>
      <c r="R87" s="84"/>
      <c r="S87" s="84"/>
      <c r="T87" s="84"/>
      <c r="U87" s="84"/>
      <c r="V87" s="84"/>
      <c r="W87" s="84"/>
      <c r="X87" s="140"/>
      <c r="Y87" s="84"/>
      <c r="Z87" s="84"/>
      <c r="AA87" s="84"/>
      <c r="AB87" s="84"/>
      <c r="AC87" s="84"/>
      <c r="AD87" s="84"/>
      <c r="AE87" s="84"/>
      <c r="AF87" s="84"/>
      <c r="AG87" s="84"/>
      <c r="AH87" s="84"/>
      <c r="AI87" s="84"/>
      <c r="AJ87" s="84"/>
      <c r="AK87" s="139"/>
      <c r="AL87" s="84"/>
      <c r="AM87" s="84"/>
      <c r="AN87" s="84"/>
      <c r="AO87" s="84"/>
      <c r="AP87" s="84"/>
      <c r="AQ87" s="84"/>
      <c r="AR87" s="84"/>
      <c r="AS87" s="84"/>
      <c r="AT87" s="84"/>
      <c r="AU87" s="84"/>
      <c r="AV87" s="84"/>
      <c r="AW87" s="170"/>
      <c r="AX87" s="44"/>
      <c r="AY87" s="44"/>
      <c r="AZ87" s="44"/>
      <c r="BA87" s="44"/>
      <c r="BB87" s="44"/>
      <c r="BC87" s="44"/>
      <c r="BD87" s="44"/>
      <c r="BE87" s="44"/>
      <c r="BF87" s="44"/>
      <c r="BG87" s="44"/>
      <c r="BH87" s="97"/>
      <c r="BI87" s="170"/>
      <c r="BJ87" s="44"/>
      <c r="BK87" s="44"/>
      <c r="BL87" s="44"/>
      <c r="BM87" s="44"/>
      <c r="BN87" s="44"/>
      <c r="BO87" s="44"/>
      <c r="BP87" s="44"/>
      <c r="BQ87" s="44"/>
      <c r="BR87" s="44"/>
      <c r="BS87" s="44"/>
      <c r="BT87" s="97"/>
      <c r="BU87" s="170"/>
      <c r="BV87" s="44"/>
      <c r="BW87" s="44"/>
      <c r="BX87" s="44"/>
      <c r="BY87" s="44"/>
      <c r="BZ87" s="44"/>
      <c r="CA87" s="44"/>
      <c r="CB87" s="44"/>
      <c r="CC87" s="44"/>
      <c r="CD87" s="44"/>
      <c r="CE87" s="44"/>
      <c r="CF87" s="97"/>
      <c r="CG87" s="170"/>
      <c r="CH87" s="44"/>
      <c r="CI87" s="44"/>
      <c r="CJ87" s="44"/>
      <c r="CK87" s="44"/>
      <c r="CL87" s="44"/>
      <c r="CM87" s="44"/>
      <c r="CN87" s="44"/>
      <c r="CO87" s="44"/>
      <c r="CP87" s="44"/>
      <c r="CQ87" s="44"/>
      <c r="CR87" s="97"/>
    </row>
    <row r="88" spans="1:96" x14ac:dyDescent="0.25">
      <c r="A88" s="49"/>
      <c r="B88" s="96" t="s">
        <v>35</v>
      </c>
      <c r="C88" s="139"/>
      <c r="D88" s="84"/>
      <c r="E88" s="84"/>
      <c r="F88" s="84"/>
      <c r="G88" s="84"/>
      <c r="H88" s="84"/>
      <c r="I88" s="84"/>
      <c r="J88" s="84"/>
      <c r="K88" s="84"/>
      <c r="L88" s="140"/>
      <c r="M88" s="139"/>
      <c r="N88" s="84"/>
      <c r="O88" s="84"/>
      <c r="P88" s="84"/>
      <c r="Q88" s="84"/>
      <c r="R88" s="84"/>
      <c r="S88" s="84"/>
      <c r="T88" s="84"/>
      <c r="U88" s="84"/>
      <c r="V88" s="84"/>
      <c r="W88" s="84"/>
      <c r="X88" s="140"/>
      <c r="Y88" s="84"/>
      <c r="Z88" s="84"/>
      <c r="AA88" s="84"/>
      <c r="AB88" s="84"/>
      <c r="AC88" s="84"/>
      <c r="AD88" s="84"/>
      <c r="AE88" s="84"/>
      <c r="AF88" s="84"/>
      <c r="AG88" s="84"/>
      <c r="AH88" s="84"/>
      <c r="AI88" s="84"/>
      <c r="AJ88" s="84"/>
      <c r="AK88" s="139"/>
      <c r="AL88" s="84"/>
      <c r="AM88" s="84"/>
      <c r="AN88" s="84"/>
      <c r="AO88" s="84"/>
      <c r="AP88" s="84"/>
      <c r="AQ88" s="84"/>
      <c r="AR88" s="84"/>
      <c r="AS88" s="84"/>
      <c r="AT88" s="84"/>
      <c r="AU88" s="84"/>
      <c r="AV88" s="84"/>
      <c r="AW88" s="170"/>
      <c r="AX88" s="44"/>
      <c r="AY88" s="44"/>
      <c r="AZ88" s="44"/>
      <c r="BA88" s="44"/>
      <c r="BB88" s="44"/>
      <c r="BC88" s="44"/>
      <c r="BD88" s="44"/>
      <c r="BE88" s="44"/>
      <c r="BF88" s="44"/>
      <c r="BG88" s="44"/>
      <c r="BH88" s="97"/>
      <c r="BI88" s="170"/>
      <c r="BJ88" s="44"/>
      <c r="BK88" s="44"/>
      <c r="BL88" s="44"/>
      <c r="BM88" s="44"/>
      <c r="BN88" s="44"/>
      <c r="BO88" s="44"/>
      <c r="BP88" s="44"/>
      <c r="BQ88" s="44"/>
      <c r="BR88" s="44"/>
      <c r="BS88" s="44"/>
      <c r="BT88" s="97"/>
      <c r="BU88" s="170"/>
      <c r="BV88" s="44"/>
      <c r="BW88" s="44"/>
      <c r="BX88" s="44"/>
      <c r="BY88" s="44"/>
      <c r="BZ88" s="44"/>
      <c r="CA88" s="44"/>
      <c r="CB88" s="44"/>
      <c r="CC88" s="44"/>
      <c r="CD88" s="44"/>
      <c r="CE88" s="44"/>
      <c r="CF88" s="97"/>
      <c r="CG88" s="170"/>
      <c r="CH88" s="44"/>
      <c r="CI88" s="44"/>
      <c r="CJ88" s="44"/>
      <c r="CK88" s="44"/>
      <c r="CL88" s="44"/>
      <c r="CM88" s="44"/>
      <c r="CN88" s="44"/>
      <c r="CO88" s="44"/>
      <c r="CP88" s="44"/>
      <c r="CQ88" s="44"/>
      <c r="CR88" s="97"/>
    </row>
    <row r="89" spans="1:96" x14ac:dyDescent="0.25">
      <c r="A89" s="49"/>
      <c r="B89" s="96" t="s">
        <v>36</v>
      </c>
      <c r="C89" s="139"/>
      <c r="D89" s="84"/>
      <c r="E89" s="84"/>
      <c r="F89" s="84"/>
      <c r="G89" s="84"/>
      <c r="H89" s="84"/>
      <c r="I89" s="84"/>
      <c r="J89" s="84"/>
      <c r="K89" s="84"/>
      <c r="L89" s="140"/>
      <c r="M89" s="139"/>
      <c r="N89" s="84"/>
      <c r="O89" s="84"/>
      <c r="P89" s="84"/>
      <c r="Q89" s="84"/>
      <c r="R89" s="84"/>
      <c r="S89" s="84"/>
      <c r="T89" s="84"/>
      <c r="U89" s="84"/>
      <c r="V89" s="84"/>
      <c r="W89" s="84"/>
      <c r="X89" s="140"/>
      <c r="Y89" s="84"/>
      <c r="Z89" s="84"/>
      <c r="AA89" s="84"/>
      <c r="AB89" s="84"/>
      <c r="AC89" s="84"/>
      <c r="AD89" s="84"/>
      <c r="AE89" s="84"/>
      <c r="AF89" s="84"/>
      <c r="AG89" s="84"/>
      <c r="AH89" s="84"/>
      <c r="AI89" s="84"/>
      <c r="AJ89" s="84"/>
      <c r="AK89" s="139"/>
      <c r="AL89" s="84"/>
      <c r="AM89" s="84"/>
      <c r="AN89" s="84"/>
      <c r="AO89" s="84"/>
      <c r="AP89" s="84"/>
      <c r="AQ89" s="84"/>
      <c r="AR89" s="84"/>
      <c r="AS89" s="84"/>
      <c r="AT89" s="84"/>
      <c r="AU89" s="84"/>
      <c r="AV89" s="84"/>
      <c r="AW89" s="170"/>
      <c r="AX89" s="44"/>
      <c r="AY89" s="44"/>
      <c r="AZ89" s="44"/>
      <c r="BA89" s="44"/>
      <c r="BB89" s="44"/>
      <c r="BC89" s="44"/>
      <c r="BD89" s="44"/>
      <c r="BE89" s="44"/>
      <c r="BF89" s="44"/>
      <c r="BG89" s="44"/>
      <c r="BH89" s="97"/>
      <c r="BI89" s="170"/>
      <c r="BJ89" s="44"/>
      <c r="BK89" s="44"/>
      <c r="BL89" s="44"/>
      <c r="BM89" s="44"/>
      <c r="BN89" s="44"/>
      <c r="BO89" s="44"/>
      <c r="BP89" s="44"/>
      <c r="BQ89" s="44"/>
      <c r="BR89" s="44"/>
      <c r="BS89" s="44"/>
      <c r="BT89" s="97"/>
      <c r="BU89" s="170"/>
      <c r="BV89" s="44"/>
      <c r="BW89" s="44"/>
      <c r="BX89" s="44"/>
      <c r="BY89" s="44"/>
      <c r="BZ89" s="44"/>
      <c r="CA89" s="44"/>
      <c r="CB89" s="44"/>
      <c r="CC89" s="44"/>
      <c r="CD89" s="44"/>
      <c r="CE89" s="44"/>
      <c r="CF89" s="97"/>
      <c r="CG89" s="170"/>
      <c r="CH89" s="44"/>
      <c r="CI89" s="44"/>
      <c r="CJ89" s="44"/>
      <c r="CK89" s="44"/>
      <c r="CL89" s="44"/>
      <c r="CM89" s="44"/>
      <c r="CN89" s="44"/>
      <c r="CO89" s="44"/>
      <c r="CP89" s="44"/>
      <c r="CQ89" s="44"/>
      <c r="CR89" s="97"/>
    </row>
    <row r="90" spans="1:96" x14ac:dyDescent="0.25">
      <c r="A90" s="49"/>
      <c r="B90" s="96" t="s">
        <v>37</v>
      </c>
      <c r="C90" s="139"/>
      <c r="D90" s="84"/>
      <c r="E90" s="84"/>
      <c r="F90" s="84"/>
      <c r="G90" s="84"/>
      <c r="H90" s="84"/>
      <c r="I90" s="84"/>
      <c r="J90" s="84"/>
      <c r="K90" s="84"/>
      <c r="L90" s="140"/>
      <c r="M90" s="139"/>
      <c r="N90" s="84"/>
      <c r="O90" s="84"/>
      <c r="P90" s="84"/>
      <c r="Q90" s="84"/>
      <c r="R90" s="84"/>
      <c r="S90" s="84"/>
      <c r="T90" s="84"/>
      <c r="U90" s="84"/>
      <c r="V90" s="84"/>
      <c r="W90" s="84"/>
      <c r="X90" s="140"/>
      <c r="Y90" s="84"/>
      <c r="Z90" s="84"/>
      <c r="AA90" s="84"/>
      <c r="AB90" s="84"/>
      <c r="AC90" s="84"/>
      <c r="AD90" s="84"/>
      <c r="AE90" s="84"/>
      <c r="AF90" s="84"/>
      <c r="AG90" s="84"/>
      <c r="AH90" s="84"/>
      <c r="AI90" s="84"/>
      <c r="AJ90" s="84"/>
      <c r="AK90" s="139"/>
      <c r="AL90" s="84"/>
      <c r="AM90" s="84"/>
      <c r="AN90" s="84"/>
      <c r="AO90" s="84"/>
      <c r="AP90" s="84"/>
      <c r="AQ90" s="84"/>
      <c r="AR90" s="84"/>
      <c r="AS90" s="84"/>
      <c r="AT90" s="84"/>
      <c r="AU90" s="84"/>
      <c r="AV90" s="84"/>
      <c r="AW90" s="170"/>
      <c r="AX90" s="44"/>
      <c r="AY90" s="44"/>
      <c r="AZ90" s="44"/>
      <c r="BA90" s="44"/>
      <c r="BB90" s="44"/>
      <c r="BC90" s="44"/>
      <c r="BD90" s="44"/>
      <c r="BE90" s="44"/>
      <c r="BF90" s="44"/>
      <c r="BG90" s="44"/>
      <c r="BH90" s="97"/>
      <c r="BI90" s="170"/>
      <c r="BJ90" s="44"/>
      <c r="BK90" s="44"/>
      <c r="BL90" s="44"/>
      <c r="BM90" s="44"/>
      <c r="BN90" s="44"/>
      <c r="BO90" s="44"/>
      <c r="BP90" s="44"/>
      <c r="BQ90" s="44"/>
      <c r="BR90" s="44"/>
      <c r="BS90" s="44"/>
      <c r="BT90" s="97"/>
      <c r="BU90" s="170"/>
      <c r="BV90" s="44"/>
      <c r="BW90" s="44"/>
      <c r="BX90" s="44"/>
      <c r="BY90" s="44"/>
      <c r="BZ90" s="44"/>
      <c r="CA90" s="44"/>
      <c r="CB90" s="44"/>
      <c r="CC90" s="44"/>
      <c r="CD90" s="44"/>
      <c r="CE90" s="44"/>
      <c r="CF90" s="97"/>
      <c r="CG90" s="170"/>
      <c r="CH90" s="44"/>
      <c r="CI90" s="44"/>
      <c r="CJ90" s="44"/>
      <c r="CK90" s="44"/>
      <c r="CL90" s="44"/>
      <c r="CM90" s="44"/>
      <c r="CN90" s="44"/>
      <c r="CO90" s="44"/>
      <c r="CP90" s="44"/>
      <c r="CQ90" s="44"/>
      <c r="CR90" s="97"/>
    </row>
    <row r="91" spans="1:96" x14ac:dyDescent="0.25">
      <c r="A91" s="49"/>
      <c r="B91" s="96" t="s">
        <v>38</v>
      </c>
      <c r="C91" s="139"/>
      <c r="D91" s="84"/>
      <c r="E91" s="84"/>
      <c r="F91" s="84"/>
      <c r="G91" s="84"/>
      <c r="H91" s="84"/>
      <c r="I91" s="84"/>
      <c r="J91" s="84"/>
      <c r="K91" s="84"/>
      <c r="L91" s="140"/>
      <c r="M91" s="139"/>
      <c r="N91" s="84"/>
      <c r="O91" s="84"/>
      <c r="P91" s="84"/>
      <c r="Q91" s="84"/>
      <c r="R91" s="84"/>
      <c r="S91" s="84"/>
      <c r="T91" s="84"/>
      <c r="U91" s="84"/>
      <c r="V91" s="84"/>
      <c r="W91" s="84"/>
      <c r="X91" s="140"/>
      <c r="Y91" s="84"/>
      <c r="Z91" s="84"/>
      <c r="AA91" s="84"/>
      <c r="AB91" s="84"/>
      <c r="AC91" s="84"/>
      <c r="AD91" s="84"/>
      <c r="AE91" s="84"/>
      <c r="AF91" s="84"/>
      <c r="AG91" s="84"/>
      <c r="AH91" s="84"/>
      <c r="AI91" s="84"/>
      <c r="AJ91" s="84"/>
      <c r="AK91" s="139"/>
      <c r="AL91" s="84"/>
      <c r="AM91" s="84"/>
      <c r="AN91" s="84"/>
      <c r="AO91" s="84"/>
      <c r="AP91" s="84"/>
      <c r="AQ91" s="84"/>
      <c r="AR91" s="84"/>
      <c r="AS91" s="84"/>
      <c r="AT91" s="84"/>
      <c r="AU91" s="84"/>
      <c r="AV91" s="84"/>
      <c r="AW91" s="170"/>
      <c r="AX91" s="44"/>
      <c r="AY91" s="44"/>
      <c r="AZ91" s="44"/>
      <c r="BA91" s="44"/>
      <c r="BB91" s="44"/>
      <c r="BC91" s="44"/>
      <c r="BD91" s="44"/>
      <c r="BE91" s="44"/>
      <c r="BF91" s="44"/>
      <c r="BG91" s="44"/>
      <c r="BH91" s="97"/>
      <c r="BI91" s="170"/>
      <c r="BJ91" s="44"/>
      <c r="BK91" s="44"/>
      <c r="BL91" s="44"/>
      <c r="BM91" s="44"/>
      <c r="BN91" s="44"/>
      <c r="BO91" s="44"/>
      <c r="BP91" s="44"/>
      <c r="BQ91" s="44"/>
      <c r="BR91" s="44"/>
      <c r="BS91" s="44"/>
      <c r="BT91" s="97"/>
      <c r="BU91" s="170"/>
      <c r="BV91" s="44"/>
      <c r="BW91" s="44"/>
      <c r="BX91" s="44"/>
      <c r="BY91" s="44"/>
      <c r="BZ91" s="44"/>
      <c r="CA91" s="44"/>
      <c r="CB91" s="44"/>
      <c r="CC91" s="44"/>
      <c r="CD91" s="44"/>
      <c r="CE91" s="44"/>
      <c r="CF91" s="97"/>
      <c r="CG91" s="170"/>
      <c r="CH91" s="44"/>
      <c r="CI91" s="44"/>
      <c r="CJ91" s="44"/>
      <c r="CK91" s="44"/>
      <c r="CL91" s="44"/>
      <c r="CM91" s="44"/>
      <c r="CN91" s="44"/>
      <c r="CO91" s="44"/>
      <c r="CP91" s="44"/>
      <c r="CQ91" s="44"/>
      <c r="CR91" s="97"/>
    </row>
    <row r="92" spans="1:96" x14ac:dyDescent="0.25">
      <c r="A92" s="49"/>
      <c r="B92" s="96" t="s">
        <v>39</v>
      </c>
      <c r="C92" s="139">
        <f>SUM(C87:C91)</f>
        <v>0</v>
      </c>
      <c r="D92" s="84">
        <f>SUM(D87:D91)</f>
        <v>0</v>
      </c>
      <c r="E92" s="84">
        <f t="shared" ref="E92:U92" si="309">SUM(E87:E91)</f>
        <v>0</v>
      </c>
      <c r="F92" s="84">
        <f t="shared" si="309"/>
        <v>0</v>
      </c>
      <c r="G92" s="84">
        <f t="shared" si="309"/>
        <v>0</v>
      </c>
      <c r="H92" s="84">
        <f t="shared" si="309"/>
        <v>0</v>
      </c>
      <c r="I92" s="84">
        <f t="shared" si="309"/>
        <v>0</v>
      </c>
      <c r="J92" s="84">
        <f t="shared" si="309"/>
        <v>0</v>
      </c>
      <c r="K92" s="84">
        <f t="shared" si="309"/>
        <v>0</v>
      </c>
      <c r="L92" s="140">
        <f t="shared" si="309"/>
        <v>0</v>
      </c>
      <c r="M92" s="139">
        <f t="shared" si="309"/>
        <v>0</v>
      </c>
      <c r="N92" s="84">
        <f t="shared" si="309"/>
        <v>0</v>
      </c>
      <c r="O92" s="84">
        <f t="shared" si="309"/>
        <v>0</v>
      </c>
      <c r="P92" s="84">
        <f t="shared" si="309"/>
        <v>0</v>
      </c>
      <c r="Q92" s="84">
        <f t="shared" si="309"/>
        <v>0</v>
      </c>
      <c r="R92" s="84">
        <f t="shared" si="309"/>
        <v>0</v>
      </c>
      <c r="S92" s="84">
        <f t="shared" si="309"/>
        <v>0</v>
      </c>
      <c r="T92" s="84">
        <f t="shared" si="309"/>
        <v>0</v>
      </c>
      <c r="U92" s="84">
        <f t="shared" si="309"/>
        <v>0</v>
      </c>
      <c r="V92" s="84"/>
      <c r="W92" s="84"/>
      <c r="X92" s="140"/>
      <c r="Y92" s="84"/>
      <c r="Z92" s="84"/>
      <c r="AA92" s="84"/>
      <c r="AB92" s="84"/>
      <c r="AC92" s="84"/>
      <c r="AD92" s="84"/>
      <c r="AE92" s="84"/>
      <c r="AF92" s="84"/>
      <c r="AG92" s="84"/>
      <c r="AH92" s="84"/>
      <c r="AI92" s="84"/>
      <c r="AJ92" s="84"/>
      <c r="AK92" s="139"/>
      <c r="AL92" s="84"/>
      <c r="AM92" s="84"/>
      <c r="AN92" s="84"/>
      <c r="AO92" s="84"/>
      <c r="AP92" s="84"/>
      <c r="AQ92" s="84"/>
      <c r="AR92" s="84"/>
      <c r="AS92" s="84"/>
      <c r="AT92" s="84"/>
      <c r="AU92" s="84"/>
      <c r="AV92" s="84"/>
      <c r="AW92" s="170"/>
      <c r="AX92" s="44"/>
      <c r="AY92" s="44"/>
      <c r="AZ92" s="44"/>
      <c r="BA92" s="44"/>
      <c r="BB92" s="44"/>
      <c r="BC92" s="44"/>
      <c r="BD92" s="44"/>
      <c r="BE92" s="44"/>
      <c r="BF92" s="44"/>
      <c r="BG92" s="44"/>
      <c r="BH92" s="97"/>
      <c r="BI92" s="170"/>
      <c r="BJ92" s="44"/>
      <c r="BK92" s="44"/>
      <c r="BL92" s="44"/>
      <c r="BM92" s="44"/>
      <c r="BN92" s="44"/>
      <c r="BO92" s="44"/>
      <c r="BP92" s="44"/>
      <c r="BQ92" s="44"/>
      <c r="BR92" s="44"/>
      <c r="BS92" s="44"/>
      <c r="BT92" s="97"/>
      <c r="BU92" s="170"/>
      <c r="BV92" s="44"/>
      <c r="BW92" s="44"/>
      <c r="BX92" s="44"/>
      <c r="BY92" s="44"/>
      <c r="BZ92" s="44"/>
      <c r="CA92" s="44"/>
      <c r="CB92" s="44"/>
      <c r="CC92" s="44"/>
      <c r="CD92" s="44"/>
      <c r="CE92" s="44"/>
      <c r="CF92" s="97"/>
      <c r="CG92" s="170"/>
      <c r="CH92" s="44"/>
      <c r="CI92" s="44"/>
      <c r="CJ92" s="44"/>
      <c r="CK92" s="44"/>
      <c r="CL92" s="44"/>
      <c r="CM92" s="44"/>
      <c r="CN92" s="44"/>
      <c r="CO92" s="44"/>
      <c r="CP92" s="44"/>
      <c r="CQ92" s="44"/>
      <c r="CR92" s="97"/>
    </row>
    <row r="93" spans="1:96" x14ac:dyDescent="0.25">
      <c r="A93" s="49">
        <f>+A86+1</f>
        <v>13</v>
      </c>
      <c r="B93" s="109" t="s">
        <v>41</v>
      </c>
      <c r="C93" s="137"/>
      <c r="D93" s="69"/>
      <c r="E93" s="69"/>
      <c r="F93" s="69"/>
      <c r="G93" s="69"/>
      <c r="H93" s="69"/>
      <c r="I93" s="69"/>
      <c r="J93" s="69"/>
      <c r="K93" s="69"/>
      <c r="L93" s="73"/>
      <c r="M93" s="137"/>
      <c r="N93" s="69"/>
      <c r="O93" s="69"/>
      <c r="P93" s="69"/>
      <c r="Q93" s="69"/>
      <c r="R93" s="69"/>
      <c r="S93" s="69"/>
      <c r="T93" s="69"/>
      <c r="U93" s="69"/>
      <c r="V93" s="69"/>
      <c r="W93" s="69"/>
      <c r="X93" s="73"/>
      <c r="Y93" s="69"/>
      <c r="Z93" s="69"/>
      <c r="AA93" s="69"/>
      <c r="AB93" s="69"/>
      <c r="AC93" s="69"/>
      <c r="AD93" s="69"/>
      <c r="AE93" s="69"/>
      <c r="AF93" s="69"/>
      <c r="AG93" s="69"/>
      <c r="AH93" s="69"/>
      <c r="AI93" s="69"/>
      <c r="AJ93" s="69"/>
      <c r="AK93" s="137"/>
      <c r="AL93" s="69"/>
      <c r="AM93" s="69"/>
      <c r="AN93" s="69"/>
      <c r="AO93" s="69"/>
      <c r="AP93" s="69"/>
      <c r="AQ93" s="69"/>
      <c r="AR93" s="69"/>
      <c r="AS93" s="69"/>
      <c r="AT93" s="69"/>
      <c r="AU93" s="69"/>
      <c r="AV93" s="69"/>
      <c r="AW93" s="170"/>
      <c r="AX93" s="44"/>
      <c r="AY93" s="44"/>
      <c r="AZ93" s="44"/>
      <c r="BA93" s="44"/>
      <c r="BB93" s="44"/>
      <c r="BC93" s="44"/>
      <c r="BD93" s="44"/>
      <c r="BE93" s="44"/>
      <c r="BF93" s="44"/>
      <c r="BG93" s="44"/>
      <c r="BH93" s="97"/>
      <c r="BI93" s="170"/>
      <c r="BJ93" s="44"/>
      <c r="BK93" s="44"/>
      <c r="BL93" s="44"/>
      <c r="BM93" s="44"/>
      <c r="BN93" s="44"/>
      <c r="BO93" s="44"/>
      <c r="BP93" s="44"/>
      <c r="BQ93" s="44"/>
      <c r="BR93" s="44"/>
      <c r="BS93" s="44"/>
      <c r="BT93" s="97"/>
      <c r="BU93" s="170"/>
      <c r="BV93" s="44"/>
      <c r="BW93" s="44"/>
      <c r="BX93" s="44"/>
      <c r="BY93" s="44"/>
      <c r="BZ93" s="44"/>
      <c r="CA93" s="44"/>
      <c r="CB93" s="44"/>
      <c r="CC93" s="44"/>
      <c r="CD93" s="44"/>
      <c r="CE93" s="44"/>
      <c r="CF93" s="97"/>
      <c r="CG93" s="170"/>
      <c r="CH93" s="44"/>
      <c r="CI93" s="44"/>
      <c r="CJ93" s="44"/>
      <c r="CK93" s="44"/>
      <c r="CL93" s="44"/>
      <c r="CM93" s="44"/>
      <c r="CN93" s="44"/>
      <c r="CO93" s="44"/>
      <c r="CP93" s="44"/>
      <c r="CQ93" s="44"/>
      <c r="CR93" s="97"/>
    </row>
    <row r="94" spans="1:96" x14ac:dyDescent="0.25">
      <c r="A94" s="49"/>
      <c r="B94" s="96" t="s">
        <v>34</v>
      </c>
      <c r="C94" s="138">
        <f t="shared" ref="C94:AN94" si="310">C80+C87</f>
        <v>7320652</v>
      </c>
      <c r="D94" s="28">
        <f t="shared" si="310"/>
        <v>5383472</v>
      </c>
      <c r="E94" s="28">
        <f t="shared" si="310"/>
        <v>2835928</v>
      </c>
      <c r="F94" s="28">
        <f t="shared" si="310"/>
        <v>1635234</v>
      </c>
      <c r="G94" s="28">
        <f t="shared" si="310"/>
        <v>1190977</v>
      </c>
      <c r="H94" s="28">
        <f t="shared" si="310"/>
        <v>1073742</v>
      </c>
      <c r="I94" s="28">
        <f t="shared" si="310"/>
        <v>1093327</v>
      </c>
      <c r="J94" s="28">
        <f t="shared" si="310"/>
        <v>1204853</v>
      </c>
      <c r="K94" s="28">
        <f t="shared" si="310"/>
        <v>2832598</v>
      </c>
      <c r="L94" s="72">
        <f t="shared" si="310"/>
        <v>6007193</v>
      </c>
      <c r="M94" s="138">
        <f t="shared" si="310"/>
        <v>7862432</v>
      </c>
      <c r="N94" s="28">
        <f t="shared" si="310"/>
        <v>6861669</v>
      </c>
      <c r="O94" s="28">
        <f t="shared" si="310"/>
        <v>6223104</v>
      </c>
      <c r="P94" s="28">
        <f t="shared" si="310"/>
        <v>5136594</v>
      </c>
      <c r="Q94" s="28">
        <f t="shared" si="310"/>
        <v>3970052</v>
      </c>
      <c r="R94" s="28">
        <f t="shared" si="310"/>
        <v>1581867</v>
      </c>
      <c r="S94" s="28">
        <f t="shared" si="310"/>
        <v>1194981</v>
      </c>
      <c r="T94" s="28">
        <f t="shared" si="310"/>
        <v>1166766</v>
      </c>
      <c r="U94" s="28">
        <f t="shared" si="310"/>
        <v>1163542.1200000001</v>
      </c>
      <c r="V94" s="28">
        <f t="shared" si="310"/>
        <v>1380254</v>
      </c>
      <c r="W94" s="28">
        <f t="shared" si="310"/>
        <v>2575289</v>
      </c>
      <c r="X94" s="72">
        <f t="shared" si="310"/>
        <v>5138197</v>
      </c>
      <c r="Y94" s="28">
        <f t="shared" si="310"/>
        <v>8339408</v>
      </c>
      <c r="Z94" s="28">
        <f t="shared" si="310"/>
        <v>7933783</v>
      </c>
      <c r="AA94" s="28">
        <f t="shared" si="310"/>
        <v>7425714</v>
      </c>
      <c r="AB94" s="28">
        <f t="shared" si="310"/>
        <v>5296039</v>
      </c>
      <c r="AC94" s="28">
        <f t="shared" si="310"/>
        <v>3161210</v>
      </c>
      <c r="AD94" s="28">
        <f t="shared" si="310"/>
        <v>1684660.5399999998</v>
      </c>
      <c r="AE94" s="28">
        <f t="shared" si="310"/>
        <v>1261199</v>
      </c>
      <c r="AF94" s="28">
        <f t="shared" si="310"/>
        <v>1298784</v>
      </c>
      <c r="AG94" s="28">
        <f t="shared" si="310"/>
        <v>1225089</v>
      </c>
      <c r="AH94" s="28">
        <f t="shared" si="310"/>
        <v>1290956</v>
      </c>
      <c r="AI94" s="28">
        <f t="shared" si="310"/>
        <v>2808047</v>
      </c>
      <c r="AJ94" s="28">
        <f t="shared" si="310"/>
        <v>7373327</v>
      </c>
      <c r="AK94" s="138">
        <f t="shared" si="310"/>
        <v>10382398</v>
      </c>
      <c r="AL94" s="28">
        <f t="shared" si="310"/>
        <v>11888020</v>
      </c>
      <c r="AM94" s="28">
        <f t="shared" si="310"/>
        <v>9458282</v>
      </c>
      <c r="AN94" s="28">
        <f t="shared" si="310"/>
        <v>8139542</v>
      </c>
      <c r="AO94" s="128">
        <f>79900+3939595+16887</f>
        <v>4036382</v>
      </c>
      <c r="AP94" s="128">
        <f>SUM(72043,2146103,10919)</f>
        <v>2229065</v>
      </c>
      <c r="AQ94" s="128">
        <f>77264+2088544+9787</f>
        <v>2175595</v>
      </c>
      <c r="AR94" s="128">
        <f>61750+1582977+8242</f>
        <v>1652969</v>
      </c>
      <c r="AS94" s="128">
        <f>68114+1698150+9510</f>
        <v>1775774</v>
      </c>
      <c r="AT94" s="128">
        <f>72081+1990296+11830</f>
        <v>2074207</v>
      </c>
      <c r="AU94" s="128">
        <f>82615+3088166+15902</f>
        <v>3186683</v>
      </c>
      <c r="AV94" s="128">
        <f>113930+7538515+28252</f>
        <v>7680697</v>
      </c>
      <c r="AW94" s="168">
        <f>AW80+AW87</f>
        <v>10778168</v>
      </c>
      <c r="AX94" s="104">
        <f t="shared" ref="AX94:BA98" si="311">AX80+AX87</f>
        <v>10210389</v>
      </c>
      <c r="AY94" s="104">
        <f t="shared" si="311"/>
        <v>9332404</v>
      </c>
      <c r="AZ94" s="104">
        <f t="shared" si="311"/>
        <v>7129923</v>
      </c>
      <c r="BA94" s="104">
        <f t="shared" si="311"/>
        <v>3099646</v>
      </c>
      <c r="BB94" s="104">
        <f t="shared" ref="BB94:BF94" si="312">BB80+BB87</f>
        <v>1777522</v>
      </c>
      <c r="BC94" s="104">
        <f t="shared" si="312"/>
        <v>1398830</v>
      </c>
      <c r="BD94" s="104">
        <f t="shared" si="312"/>
        <v>1141099</v>
      </c>
      <c r="BE94" s="104">
        <f t="shared" si="312"/>
        <v>1288253</v>
      </c>
      <c r="BF94" s="104">
        <f t="shared" si="312"/>
        <v>1361056</v>
      </c>
      <c r="BG94" s="195">
        <f>56527+2713887+17646</f>
        <v>2788060</v>
      </c>
      <c r="BH94" s="195">
        <v>5809058</v>
      </c>
      <c r="BI94" s="168">
        <f t="shared" ref="BI94:BI99" si="313">AW94-AK94</f>
        <v>395770</v>
      </c>
      <c r="BJ94" s="104">
        <f t="shared" ref="BJ94:BJ99" si="314">AX94-AL94</f>
        <v>-1677631</v>
      </c>
      <c r="BK94" s="104">
        <f t="shared" ref="BK94:BK99" si="315">AY94-AM94</f>
        <v>-125878</v>
      </c>
      <c r="BL94" s="104">
        <f t="shared" ref="BL94:BO99" si="316">AZ94-AN94</f>
        <v>-1009619</v>
      </c>
      <c r="BM94" s="104">
        <f t="shared" si="316"/>
        <v>-936736</v>
      </c>
      <c r="BN94" s="104">
        <f t="shared" si="316"/>
        <v>-451543</v>
      </c>
      <c r="BO94" s="104">
        <f t="shared" si="316"/>
        <v>-776765</v>
      </c>
      <c r="BP94" s="104">
        <f t="shared" ref="BP94:BP99" si="317">BD94-AR94</f>
        <v>-511870</v>
      </c>
      <c r="BQ94" s="104">
        <f t="shared" ref="BQ94:BQ99" si="318">BE94-AS94</f>
        <v>-487521</v>
      </c>
      <c r="BR94" s="104">
        <f t="shared" ref="BR94:BT99" si="319">BF94-AT94</f>
        <v>-713151</v>
      </c>
      <c r="BS94" s="104">
        <f t="shared" si="319"/>
        <v>-398623</v>
      </c>
      <c r="BT94" s="106">
        <f t="shared" si="319"/>
        <v>-1871639</v>
      </c>
      <c r="BU94" s="168">
        <f>BU80+BU87</f>
        <v>7024969</v>
      </c>
      <c r="BV94" s="104">
        <f t="shared" ref="BV94:CD94" si="320">BV80+BV87</f>
        <v>7653983</v>
      </c>
      <c r="BW94" s="104">
        <f t="shared" si="320"/>
        <v>6437329</v>
      </c>
      <c r="BX94" s="104">
        <f t="shared" si="320"/>
        <v>5168239</v>
      </c>
      <c r="BY94" s="104">
        <f t="shared" si="320"/>
        <v>3396436</v>
      </c>
      <c r="BZ94" s="104">
        <v>2011888</v>
      </c>
      <c r="CA94" s="104">
        <f t="shared" si="320"/>
        <v>1511516</v>
      </c>
      <c r="CB94" s="104">
        <f t="shared" si="320"/>
        <v>1367193</v>
      </c>
      <c r="CC94" s="104">
        <f t="shared" si="320"/>
        <v>1380251</v>
      </c>
      <c r="CD94" s="104">
        <f t="shared" si="320"/>
        <v>1542042</v>
      </c>
      <c r="CE94" s="195">
        <f t="shared" ref="CE94:CF94" si="321">CE80+CE87</f>
        <v>3045123</v>
      </c>
      <c r="CF94" s="214">
        <f t="shared" si="321"/>
        <v>0</v>
      </c>
      <c r="CG94" s="168">
        <f t="shared" ref="CG94:CG99" si="322">BU94-BI94</f>
        <v>6629199</v>
      </c>
      <c r="CH94" s="104">
        <f t="shared" ref="CH94:CH99" si="323">BV94-BJ94</f>
        <v>9331614</v>
      </c>
      <c r="CI94" s="104">
        <f t="shared" ref="CI94:CI99" si="324">BW94-BK94</f>
        <v>6563207</v>
      </c>
      <c r="CJ94" s="104">
        <f t="shared" ref="CJ94:CJ99" si="325">BX94-BL94</f>
        <v>6177858</v>
      </c>
      <c r="CK94" s="104">
        <f t="shared" ref="CK94:CK99" si="326">BY94-BM94</f>
        <v>4333172</v>
      </c>
      <c r="CL94" s="104">
        <f t="shared" ref="CL94:CL99" si="327">BZ94-BN94</f>
        <v>2463431</v>
      </c>
      <c r="CM94" s="104">
        <f t="shared" ref="CM94:CM99" si="328">CA94-BO94</f>
        <v>2288281</v>
      </c>
      <c r="CN94" s="104">
        <f t="shared" ref="CN94:CN99" si="329">CB94-BP94</f>
        <v>1879063</v>
      </c>
      <c r="CO94" s="104">
        <f t="shared" ref="CO94:CO99" si="330">CC94-BQ94</f>
        <v>1867772</v>
      </c>
      <c r="CP94" s="104">
        <f t="shared" ref="CP94:CP99" si="331">CD94-BR94</f>
        <v>2255193</v>
      </c>
      <c r="CQ94" s="104">
        <f t="shared" ref="CQ94:CQ99" si="332">CE94-BS94</f>
        <v>3443746</v>
      </c>
      <c r="CR94" s="106">
        <f t="shared" ref="CR94:CR99" si="333">CF94-BT94</f>
        <v>1871639</v>
      </c>
    </row>
    <row r="95" spans="1:96" x14ac:dyDescent="0.25">
      <c r="A95" s="49"/>
      <c r="B95" s="96" t="s">
        <v>35</v>
      </c>
      <c r="C95" s="138">
        <f t="shared" ref="C95:AN95" si="334">C81+C88</f>
        <v>1333487</v>
      </c>
      <c r="D95" s="28">
        <f t="shared" si="334"/>
        <v>958085</v>
      </c>
      <c r="E95" s="28">
        <f t="shared" si="334"/>
        <v>508395</v>
      </c>
      <c r="F95" s="28">
        <f t="shared" si="334"/>
        <v>288279</v>
      </c>
      <c r="G95" s="28">
        <f t="shared" si="334"/>
        <v>199067</v>
      </c>
      <c r="H95" s="28">
        <f t="shared" si="334"/>
        <v>185727</v>
      </c>
      <c r="I95" s="28">
        <f t="shared" si="334"/>
        <v>191423</v>
      </c>
      <c r="J95" s="28">
        <f t="shared" si="334"/>
        <v>225239</v>
      </c>
      <c r="K95" s="28">
        <f t="shared" si="334"/>
        <v>582954</v>
      </c>
      <c r="L95" s="72">
        <f t="shared" si="334"/>
        <v>1116062</v>
      </c>
      <c r="M95" s="138">
        <f t="shared" si="334"/>
        <v>1429370</v>
      </c>
      <c r="N95" s="28">
        <f t="shared" si="334"/>
        <v>1214330</v>
      </c>
      <c r="O95" s="28">
        <f t="shared" si="334"/>
        <v>1133263</v>
      </c>
      <c r="P95" s="28">
        <f t="shared" si="334"/>
        <v>949503</v>
      </c>
      <c r="Q95" s="28">
        <f t="shared" si="334"/>
        <v>690439</v>
      </c>
      <c r="R95" s="28">
        <f t="shared" si="334"/>
        <v>267576</v>
      </c>
      <c r="S95" s="28">
        <f t="shared" si="334"/>
        <v>191044</v>
      </c>
      <c r="T95" s="28">
        <f t="shared" si="334"/>
        <v>196521</v>
      </c>
      <c r="U95" s="28">
        <f t="shared" si="334"/>
        <v>195920.27</v>
      </c>
      <c r="V95" s="28">
        <f t="shared" si="334"/>
        <v>246100</v>
      </c>
      <c r="W95" s="28">
        <f t="shared" si="334"/>
        <v>505107</v>
      </c>
      <c r="X95" s="72">
        <f t="shared" si="334"/>
        <v>987910</v>
      </c>
      <c r="Y95" s="28">
        <f t="shared" si="334"/>
        <v>1444116</v>
      </c>
      <c r="Z95" s="28">
        <f t="shared" si="334"/>
        <v>1395746</v>
      </c>
      <c r="AA95" s="28">
        <f t="shared" si="334"/>
        <v>1259525</v>
      </c>
      <c r="AB95" s="28">
        <f t="shared" si="334"/>
        <v>846537</v>
      </c>
      <c r="AC95" s="28">
        <f t="shared" si="334"/>
        <v>564271</v>
      </c>
      <c r="AD95" s="28">
        <f t="shared" si="334"/>
        <v>247702.00999999998</v>
      </c>
      <c r="AE95" s="28">
        <f t="shared" si="334"/>
        <v>169120</v>
      </c>
      <c r="AF95" s="28">
        <f t="shared" si="334"/>
        <v>239074</v>
      </c>
      <c r="AG95" s="28">
        <f t="shared" si="334"/>
        <v>212229</v>
      </c>
      <c r="AH95" s="28">
        <f t="shared" si="334"/>
        <v>229178</v>
      </c>
      <c r="AI95" s="28">
        <f t="shared" si="334"/>
        <v>607293</v>
      </c>
      <c r="AJ95" s="28">
        <f t="shared" si="334"/>
        <v>1351125</v>
      </c>
      <c r="AK95" s="138">
        <f t="shared" si="334"/>
        <v>1872527</v>
      </c>
      <c r="AL95" s="28">
        <f t="shared" si="334"/>
        <v>2106974</v>
      </c>
      <c r="AM95" s="28">
        <f t="shared" si="334"/>
        <v>1689470</v>
      </c>
      <c r="AN95" s="28">
        <f t="shared" si="334"/>
        <v>1634486</v>
      </c>
      <c r="AO95" s="128">
        <f>7932+769701</f>
        <v>777633</v>
      </c>
      <c r="AP95" s="128">
        <f>SUM(7060,385923)</f>
        <v>392983</v>
      </c>
      <c r="AQ95" s="128">
        <f>7169+394329</f>
        <v>401498</v>
      </c>
      <c r="AR95" s="128">
        <f>5449+291696</f>
        <v>297145</v>
      </c>
      <c r="AS95" s="128">
        <f>7261+357486</f>
        <v>364747</v>
      </c>
      <c r="AT95" s="128">
        <f>6766+419512</f>
        <v>426278</v>
      </c>
      <c r="AU95" s="128">
        <f>7352+670960</f>
        <v>678312</v>
      </c>
      <c r="AV95" s="128">
        <f>10085+1505402</f>
        <v>1515487</v>
      </c>
      <c r="AW95" s="168">
        <f t="shared" ref="AW95:AW98" si="335">AW81+AW88</f>
        <v>2240055</v>
      </c>
      <c r="AX95" s="104">
        <f t="shared" si="311"/>
        <v>2062354</v>
      </c>
      <c r="AY95" s="104">
        <f t="shared" si="311"/>
        <v>1891635</v>
      </c>
      <c r="AZ95" s="104">
        <f t="shared" si="311"/>
        <v>1511408</v>
      </c>
      <c r="BA95" s="104">
        <f t="shared" si="311"/>
        <v>670096</v>
      </c>
      <c r="BB95" s="104">
        <f t="shared" ref="BB95:BF95" si="336">BB81+BB88</f>
        <v>337669</v>
      </c>
      <c r="BC95" s="104">
        <f t="shared" si="336"/>
        <v>279616</v>
      </c>
      <c r="BD95" s="104">
        <f t="shared" si="336"/>
        <v>228286</v>
      </c>
      <c r="BE95" s="104">
        <f t="shared" si="336"/>
        <v>278581</v>
      </c>
      <c r="BF95" s="104">
        <f t="shared" si="336"/>
        <v>300654</v>
      </c>
      <c r="BG95" s="195">
        <f>10465+682689</f>
        <v>693154</v>
      </c>
      <c r="BH95" s="195">
        <v>1218089</v>
      </c>
      <c r="BI95" s="168">
        <f t="shared" si="313"/>
        <v>367528</v>
      </c>
      <c r="BJ95" s="104">
        <f t="shared" si="314"/>
        <v>-44620</v>
      </c>
      <c r="BK95" s="104">
        <f t="shared" si="315"/>
        <v>202165</v>
      </c>
      <c r="BL95" s="104">
        <f t="shared" si="316"/>
        <v>-123078</v>
      </c>
      <c r="BM95" s="104">
        <f t="shared" si="316"/>
        <v>-107537</v>
      </c>
      <c r="BN95" s="104">
        <f t="shared" si="316"/>
        <v>-55314</v>
      </c>
      <c r="BO95" s="104">
        <f t="shared" si="316"/>
        <v>-121882</v>
      </c>
      <c r="BP95" s="104">
        <f t="shared" si="317"/>
        <v>-68859</v>
      </c>
      <c r="BQ95" s="104">
        <f t="shared" si="318"/>
        <v>-86166</v>
      </c>
      <c r="BR95" s="104">
        <f t="shared" si="319"/>
        <v>-125624</v>
      </c>
      <c r="BS95" s="104">
        <f t="shared" si="319"/>
        <v>14842</v>
      </c>
      <c r="BT95" s="106">
        <f t="shared" si="319"/>
        <v>-297398</v>
      </c>
      <c r="BU95" s="168">
        <f t="shared" ref="BU95:CD98" si="337">BU81+BU88</f>
        <v>1509547</v>
      </c>
      <c r="BV95" s="104">
        <f t="shared" si="337"/>
        <v>1632426</v>
      </c>
      <c r="BW95" s="104">
        <f t="shared" si="337"/>
        <v>1310528</v>
      </c>
      <c r="BX95" s="104">
        <f t="shared" si="337"/>
        <v>1141813</v>
      </c>
      <c r="BY95" s="104">
        <f t="shared" si="337"/>
        <v>779388</v>
      </c>
      <c r="BZ95" s="104">
        <v>398788</v>
      </c>
      <c r="CA95" s="104">
        <f t="shared" si="337"/>
        <v>291363</v>
      </c>
      <c r="CB95" s="104">
        <f t="shared" si="337"/>
        <v>257846</v>
      </c>
      <c r="CC95" s="104">
        <f t="shared" si="337"/>
        <v>268475</v>
      </c>
      <c r="CD95" s="104">
        <f t="shared" si="337"/>
        <v>315956</v>
      </c>
      <c r="CE95" s="195">
        <f t="shared" ref="CE95:CF95" si="338">CE81+CE88</f>
        <v>670659</v>
      </c>
      <c r="CF95" s="214">
        <f t="shared" si="338"/>
        <v>0</v>
      </c>
      <c r="CG95" s="168">
        <f t="shared" si="322"/>
        <v>1142019</v>
      </c>
      <c r="CH95" s="104">
        <f t="shared" si="323"/>
        <v>1677046</v>
      </c>
      <c r="CI95" s="104">
        <f t="shared" si="324"/>
        <v>1108363</v>
      </c>
      <c r="CJ95" s="104">
        <f t="shared" si="325"/>
        <v>1264891</v>
      </c>
      <c r="CK95" s="104">
        <f t="shared" si="326"/>
        <v>886925</v>
      </c>
      <c r="CL95" s="104">
        <f t="shared" si="327"/>
        <v>454102</v>
      </c>
      <c r="CM95" s="104">
        <f t="shared" si="328"/>
        <v>413245</v>
      </c>
      <c r="CN95" s="104">
        <f t="shared" si="329"/>
        <v>326705</v>
      </c>
      <c r="CO95" s="104">
        <f t="shared" si="330"/>
        <v>354641</v>
      </c>
      <c r="CP95" s="104">
        <f t="shared" si="331"/>
        <v>441580</v>
      </c>
      <c r="CQ95" s="104">
        <f t="shared" si="332"/>
        <v>655817</v>
      </c>
      <c r="CR95" s="106">
        <f t="shared" si="333"/>
        <v>297398</v>
      </c>
    </row>
    <row r="96" spans="1:96" x14ac:dyDescent="0.25">
      <c r="A96" s="49"/>
      <c r="B96" s="96" t="s">
        <v>36</v>
      </c>
      <c r="C96" s="138">
        <f t="shared" ref="C96:AN96" si="339">C82+C89</f>
        <v>1375645</v>
      </c>
      <c r="D96" s="28">
        <f t="shared" si="339"/>
        <v>923452</v>
      </c>
      <c r="E96" s="28">
        <f t="shared" si="339"/>
        <v>464298</v>
      </c>
      <c r="F96" s="28">
        <f t="shared" si="339"/>
        <v>262485</v>
      </c>
      <c r="G96" s="28">
        <f t="shared" si="339"/>
        <v>183929</v>
      </c>
      <c r="H96" s="28">
        <f t="shared" si="339"/>
        <v>161920</v>
      </c>
      <c r="I96" s="28">
        <f t="shared" si="339"/>
        <v>174763</v>
      </c>
      <c r="J96" s="28">
        <f t="shared" si="339"/>
        <v>203931</v>
      </c>
      <c r="K96" s="28">
        <f t="shared" si="339"/>
        <v>442864</v>
      </c>
      <c r="L96" s="72">
        <f t="shared" si="339"/>
        <v>1061728</v>
      </c>
      <c r="M96" s="138">
        <f t="shared" si="339"/>
        <v>1471763</v>
      </c>
      <c r="N96" s="28">
        <f t="shared" si="339"/>
        <v>1247966</v>
      </c>
      <c r="O96" s="28">
        <f t="shared" si="339"/>
        <v>1100675</v>
      </c>
      <c r="P96" s="28">
        <f t="shared" si="339"/>
        <v>841390</v>
      </c>
      <c r="Q96" s="28">
        <f t="shared" si="339"/>
        <v>560478</v>
      </c>
      <c r="R96" s="28">
        <f t="shared" si="339"/>
        <v>195767</v>
      </c>
      <c r="S96" s="28">
        <f t="shared" si="339"/>
        <v>170346</v>
      </c>
      <c r="T96" s="28">
        <f t="shared" si="339"/>
        <v>177695</v>
      </c>
      <c r="U96" s="28">
        <f t="shared" si="339"/>
        <v>144707.44</v>
      </c>
      <c r="V96" s="28">
        <f t="shared" si="339"/>
        <v>200859</v>
      </c>
      <c r="W96" s="28">
        <f t="shared" si="339"/>
        <v>386251</v>
      </c>
      <c r="X96" s="72">
        <f t="shared" si="339"/>
        <v>829481</v>
      </c>
      <c r="Y96" s="28">
        <f t="shared" si="339"/>
        <v>1484053</v>
      </c>
      <c r="Z96" s="28">
        <f t="shared" si="339"/>
        <v>1469815</v>
      </c>
      <c r="AA96" s="28">
        <f t="shared" si="339"/>
        <v>1333677</v>
      </c>
      <c r="AB96" s="28">
        <f t="shared" si="339"/>
        <v>873533</v>
      </c>
      <c r="AC96" s="28">
        <f t="shared" si="339"/>
        <v>492665</v>
      </c>
      <c r="AD96" s="28">
        <f t="shared" si="339"/>
        <v>239363</v>
      </c>
      <c r="AE96" s="28">
        <f t="shared" si="339"/>
        <v>185051</v>
      </c>
      <c r="AF96" s="28">
        <f t="shared" si="339"/>
        <v>193515</v>
      </c>
      <c r="AG96" s="28">
        <f t="shared" si="339"/>
        <v>200269</v>
      </c>
      <c r="AH96" s="28">
        <f t="shared" si="339"/>
        <v>202701</v>
      </c>
      <c r="AI96" s="28">
        <f t="shared" si="339"/>
        <v>438898</v>
      </c>
      <c r="AJ96" s="28">
        <f t="shared" si="339"/>
        <v>1175731</v>
      </c>
      <c r="AK96" s="138">
        <f t="shared" si="339"/>
        <v>1822448</v>
      </c>
      <c r="AL96" s="28">
        <f t="shared" si="339"/>
        <v>2197462</v>
      </c>
      <c r="AM96" s="28">
        <f t="shared" si="339"/>
        <v>1765951</v>
      </c>
      <c r="AN96" s="28">
        <f t="shared" si="339"/>
        <v>1387730</v>
      </c>
      <c r="AO96" s="128">
        <f>460239+138468+30106+6234</f>
        <v>635047</v>
      </c>
      <c r="AP96" s="128">
        <f>SUM(243800,114659,16315,6720)</f>
        <v>381494</v>
      </c>
      <c r="AQ96" s="128">
        <f>170370+145657+14079+4067</f>
        <v>334173</v>
      </c>
      <c r="AR96" s="128">
        <f>82828+105498+11222+4908</f>
        <v>204456</v>
      </c>
      <c r="AS96" s="128">
        <f>139654+124567+11817+8560</f>
        <v>284598</v>
      </c>
      <c r="AT96" s="128">
        <f>228582+122531+16950+4594</f>
        <v>372657</v>
      </c>
      <c r="AU96" s="128">
        <f>342060+138943+25910+7951</f>
        <v>514864</v>
      </c>
      <c r="AV96" s="128">
        <f>990217+192246+56087+24406</f>
        <v>1262956</v>
      </c>
      <c r="AW96" s="168">
        <f t="shared" si="335"/>
        <v>1900472</v>
      </c>
      <c r="AX96" s="104">
        <f t="shared" si="311"/>
        <v>1911729</v>
      </c>
      <c r="AY96" s="104">
        <f t="shared" si="311"/>
        <v>1675006</v>
      </c>
      <c r="AZ96" s="104">
        <f t="shared" si="311"/>
        <v>1278341</v>
      </c>
      <c r="BA96" s="104">
        <f t="shared" si="311"/>
        <v>512298</v>
      </c>
      <c r="BB96" s="104">
        <f t="shared" ref="BB96:BF96" si="340">BB82+BB89</f>
        <v>260544</v>
      </c>
      <c r="BC96" s="104">
        <f t="shared" si="340"/>
        <v>217223</v>
      </c>
      <c r="BD96" s="104">
        <f t="shared" si="340"/>
        <v>178121</v>
      </c>
      <c r="BE96" s="104">
        <f t="shared" si="340"/>
        <v>189813</v>
      </c>
      <c r="BF96" s="104">
        <f t="shared" si="340"/>
        <v>198021</v>
      </c>
      <c r="BG96" s="195">
        <f>314945+93567+33236+12195</f>
        <v>453943</v>
      </c>
      <c r="BH96" s="195">
        <v>1013476</v>
      </c>
      <c r="BI96" s="168">
        <f t="shared" si="313"/>
        <v>78024</v>
      </c>
      <c r="BJ96" s="104">
        <f t="shared" si="314"/>
        <v>-285733</v>
      </c>
      <c r="BK96" s="104">
        <f t="shared" si="315"/>
        <v>-90945</v>
      </c>
      <c r="BL96" s="104">
        <f t="shared" si="316"/>
        <v>-109389</v>
      </c>
      <c r="BM96" s="104">
        <f t="shared" si="316"/>
        <v>-122749</v>
      </c>
      <c r="BN96" s="104">
        <f t="shared" si="316"/>
        <v>-120950</v>
      </c>
      <c r="BO96" s="104">
        <f t="shared" si="316"/>
        <v>-116950</v>
      </c>
      <c r="BP96" s="104">
        <f t="shared" si="317"/>
        <v>-26335</v>
      </c>
      <c r="BQ96" s="104">
        <f t="shared" si="318"/>
        <v>-94785</v>
      </c>
      <c r="BR96" s="104">
        <f t="shared" si="319"/>
        <v>-174636</v>
      </c>
      <c r="BS96" s="104">
        <f t="shared" si="319"/>
        <v>-60921</v>
      </c>
      <c r="BT96" s="106">
        <f t="shared" si="319"/>
        <v>-249480</v>
      </c>
      <c r="BU96" s="168">
        <f t="shared" si="337"/>
        <v>1336658</v>
      </c>
      <c r="BV96" s="104">
        <f t="shared" si="337"/>
        <v>1476485</v>
      </c>
      <c r="BW96" s="104">
        <f t="shared" si="337"/>
        <v>1173683</v>
      </c>
      <c r="BX96" s="104">
        <f t="shared" si="337"/>
        <v>977236</v>
      </c>
      <c r="BY96" s="104">
        <f t="shared" si="337"/>
        <v>593278</v>
      </c>
      <c r="BZ96" s="104">
        <v>302039</v>
      </c>
      <c r="CA96" s="104">
        <f t="shared" si="337"/>
        <v>224996</v>
      </c>
      <c r="CB96" s="104">
        <f t="shared" si="337"/>
        <v>226374</v>
      </c>
      <c r="CC96" s="104">
        <f t="shared" si="337"/>
        <v>204133</v>
      </c>
      <c r="CD96" s="104">
        <f t="shared" si="337"/>
        <v>247771</v>
      </c>
      <c r="CE96" s="195">
        <f t="shared" ref="CE96:CF96" si="341">CE82+CE89</f>
        <v>440178</v>
      </c>
      <c r="CF96" s="214">
        <f t="shared" si="341"/>
        <v>0</v>
      </c>
      <c r="CG96" s="168">
        <f t="shared" si="322"/>
        <v>1258634</v>
      </c>
      <c r="CH96" s="104">
        <f t="shared" si="323"/>
        <v>1762218</v>
      </c>
      <c r="CI96" s="104">
        <f t="shared" si="324"/>
        <v>1264628</v>
      </c>
      <c r="CJ96" s="104">
        <f t="shared" si="325"/>
        <v>1086625</v>
      </c>
      <c r="CK96" s="104">
        <f t="shared" si="326"/>
        <v>716027</v>
      </c>
      <c r="CL96" s="104">
        <f t="shared" si="327"/>
        <v>422989</v>
      </c>
      <c r="CM96" s="104">
        <f t="shared" si="328"/>
        <v>341946</v>
      </c>
      <c r="CN96" s="104">
        <f t="shared" si="329"/>
        <v>252709</v>
      </c>
      <c r="CO96" s="104">
        <f t="shared" si="330"/>
        <v>298918</v>
      </c>
      <c r="CP96" s="104">
        <f t="shared" si="331"/>
        <v>422407</v>
      </c>
      <c r="CQ96" s="104">
        <f t="shared" si="332"/>
        <v>501099</v>
      </c>
      <c r="CR96" s="106">
        <f t="shared" si="333"/>
        <v>249480</v>
      </c>
    </row>
    <row r="97" spans="1:96" x14ac:dyDescent="0.25">
      <c r="A97" s="49"/>
      <c r="B97" s="96" t="s">
        <v>37</v>
      </c>
      <c r="C97" s="138">
        <f t="shared" ref="C97:AN97" si="342">C83+C90</f>
        <v>1666953</v>
      </c>
      <c r="D97" s="28">
        <f t="shared" si="342"/>
        <v>1501755</v>
      </c>
      <c r="E97" s="28">
        <f t="shared" si="342"/>
        <v>726742</v>
      </c>
      <c r="F97" s="28">
        <f t="shared" si="342"/>
        <v>-52742</v>
      </c>
      <c r="G97" s="28">
        <f t="shared" si="342"/>
        <v>186325</v>
      </c>
      <c r="H97" s="28">
        <f t="shared" si="342"/>
        <v>169635</v>
      </c>
      <c r="I97" s="28">
        <f t="shared" si="342"/>
        <v>207469</v>
      </c>
      <c r="J97" s="28">
        <f t="shared" si="342"/>
        <v>242404</v>
      </c>
      <c r="K97" s="28">
        <f t="shared" si="342"/>
        <v>626174</v>
      </c>
      <c r="L97" s="72">
        <f t="shared" si="342"/>
        <v>1231489</v>
      </c>
      <c r="M97" s="138">
        <f t="shared" si="342"/>
        <v>1713085</v>
      </c>
      <c r="N97" s="28">
        <f t="shared" si="342"/>
        <v>1512733</v>
      </c>
      <c r="O97" s="28">
        <f t="shared" si="342"/>
        <v>1355241</v>
      </c>
      <c r="P97" s="28">
        <f t="shared" si="342"/>
        <v>1105188</v>
      </c>
      <c r="Q97" s="28">
        <f t="shared" si="342"/>
        <v>762300</v>
      </c>
      <c r="R97" s="28">
        <f t="shared" si="342"/>
        <v>249344</v>
      </c>
      <c r="S97" s="28">
        <f t="shared" si="342"/>
        <v>185610</v>
      </c>
      <c r="T97" s="28">
        <f t="shared" si="342"/>
        <v>179786</v>
      </c>
      <c r="U97" s="28">
        <f t="shared" si="342"/>
        <v>130804.54</v>
      </c>
      <c r="V97" s="28">
        <f t="shared" si="342"/>
        <v>263748</v>
      </c>
      <c r="W97" s="28">
        <f t="shared" si="342"/>
        <v>537158</v>
      </c>
      <c r="X97" s="72">
        <f t="shared" si="342"/>
        <v>1068823</v>
      </c>
      <c r="Y97" s="28">
        <f t="shared" si="342"/>
        <v>1851485</v>
      </c>
      <c r="Z97" s="28">
        <f t="shared" si="342"/>
        <v>1665615</v>
      </c>
      <c r="AA97" s="28">
        <f t="shared" si="342"/>
        <v>1628238</v>
      </c>
      <c r="AB97" s="28">
        <f t="shared" si="342"/>
        <v>1214548</v>
      </c>
      <c r="AC97" s="28">
        <f t="shared" si="342"/>
        <v>696013</v>
      </c>
      <c r="AD97" s="28">
        <f t="shared" si="342"/>
        <v>332034.40999999997</v>
      </c>
      <c r="AE97" s="28">
        <f t="shared" si="342"/>
        <v>225214</v>
      </c>
      <c r="AF97" s="28">
        <f t="shared" si="342"/>
        <v>222079</v>
      </c>
      <c r="AG97" s="28">
        <f t="shared" si="342"/>
        <v>125540</v>
      </c>
      <c r="AH97" s="28">
        <f t="shared" si="342"/>
        <v>208930</v>
      </c>
      <c r="AI97" s="28">
        <f t="shared" si="342"/>
        <v>695033</v>
      </c>
      <c r="AJ97" s="28">
        <f t="shared" si="342"/>
        <v>1544011</v>
      </c>
      <c r="AK97" s="138">
        <f t="shared" si="342"/>
        <v>2022301</v>
      </c>
      <c r="AL97" s="28">
        <f t="shared" si="342"/>
        <v>2432836</v>
      </c>
      <c r="AM97" s="28">
        <f t="shared" si="342"/>
        <v>2023591</v>
      </c>
      <c r="AN97" s="28">
        <f t="shared" si="342"/>
        <v>1901450</v>
      </c>
      <c r="AO97" s="128">
        <f>507062+222711+203217+72282</f>
        <v>1005272</v>
      </c>
      <c r="AP97" s="128">
        <f>SUM(133468,671824,132875,54740)</f>
        <v>992907</v>
      </c>
      <c r="AQ97" s="128">
        <f>92208+183397+44557+44584</f>
        <v>364746</v>
      </c>
      <c r="AR97" s="128">
        <f>72778+218700+38545+40035</f>
        <v>370058</v>
      </c>
      <c r="AS97" s="128">
        <f>79740+200897+42985+45518</f>
        <v>369140</v>
      </c>
      <c r="AT97" s="128">
        <f>146513+192801+89160+50957</f>
        <v>479431</v>
      </c>
      <c r="AU97" s="128">
        <f>269869+214628+165934+60341</f>
        <v>710772</v>
      </c>
      <c r="AV97" s="128">
        <f>815632+298813+368004+97730</f>
        <v>1580179</v>
      </c>
      <c r="AW97" s="168">
        <f t="shared" si="335"/>
        <v>2148175</v>
      </c>
      <c r="AX97" s="104">
        <f t="shared" si="311"/>
        <v>2157200</v>
      </c>
      <c r="AY97" s="104">
        <f t="shared" si="311"/>
        <v>1925814</v>
      </c>
      <c r="AZ97" s="104">
        <f t="shared" si="311"/>
        <v>1528869</v>
      </c>
      <c r="BA97" s="104">
        <f t="shared" si="311"/>
        <v>570772</v>
      </c>
      <c r="BB97" s="104">
        <f t="shared" ref="BB97:BF97" si="343">BB83+BB90</f>
        <v>386892</v>
      </c>
      <c r="BC97" s="104">
        <f t="shared" si="343"/>
        <v>216017</v>
      </c>
      <c r="BD97" s="104">
        <f t="shared" si="343"/>
        <v>188279</v>
      </c>
      <c r="BE97" s="104">
        <f t="shared" si="343"/>
        <v>227707</v>
      </c>
      <c r="BF97" s="104">
        <f t="shared" si="343"/>
        <v>255556</v>
      </c>
      <c r="BG97" s="195">
        <f>210167+129412+200618+62555</f>
        <v>602752</v>
      </c>
      <c r="BH97" s="195">
        <v>1238016</v>
      </c>
      <c r="BI97" s="168">
        <f t="shared" si="313"/>
        <v>125874</v>
      </c>
      <c r="BJ97" s="104">
        <f t="shared" si="314"/>
        <v>-275636</v>
      </c>
      <c r="BK97" s="104">
        <f t="shared" si="315"/>
        <v>-97777</v>
      </c>
      <c r="BL97" s="104">
        <f t="shared" si="316"/>
        <v>-372581</v>
      </c>
      <c r="BM97" s="104">
        <f t="shared" si="316"/>
        <v>-434500</v>
      </c>
      <c r="BN97" s="104">
        <f t="shared" si="316"/>
        <v>-606015</v>
      </c>
      <c r="BO97" s="104">
        <f t="shared" si="316"/>
        <v>-148729</v>
      </c>
      <c r="BP97" s="104">
        <f t="shared" si="317"/>
        <v>-181779</v>
      </c>
      <c r="BQ97" s="104">
        <f t="shared" si="318"/>
        <v>-141433</v>
      </c>
      <c r="BR97" s="104">
        <f t="shared" si="319"/>
        <v>-223875</v>
      </c>
      <c r="BS97" s="104">
        <f t="shared" si="319"/>
        <v>-108020</v>
      </c>
      <c r="BT97" s="106">
        <f t="shared" si="319"/>
        <v>-342163</v>
      </c>
      <c r="BU97" s="168">
        <f t="shared" si="337"/>
        <v>1462961</v>
      </c>
      <c r="BV97" s="104">
        <f t="shared" si="337"/>
        <v>1674351</v>
      </c>
      <c r="BW97" s="104">
        <f t="shared" si="337"/>
        <v>1374264</v>
      </c>
      <c r="BX97" s="104">
        <f t="shared" si="337"/>
        <v>1276026</v>
      </c>
      <c r="BY97" s="104">
        <f t="shared" si="337"/>
        <v>1751640</v>
      </c>
      <c r="BZ97" s="104">
        <v>482047</v>
      </c>
      <c r="CA97" s="104">
        <f t="shared" si="337"/>
        <v>325539</v>
      </c>
      <c r="CB97" s="104">
        <f t="shared" si="337"/>
        <v>336825</v>
      </c>
      <c r="CC97" s="104">
        <f t="shared" si="337"/>
        <v>212507</v>
      </c>
      <c r="CD97" s="104">
        <f t="shared" si="337"/>
        <v>294300</v>
      </c>
      <c r="CE97" s="195">
        <f t="shared" ref="CE97:CF97" si="344">CE83+CE90</f>
        <v>683790</v>
      </c>
      <c r="CF97" s="214">
        <f t="shared" si="344"/>
        <v>0</v>
      </c>
      <c r="CG97" s="168">
        <f t="shared" si="322"/>
        <v>1337087</v>
      </c>
      <c r="CH97" s="104">
        <f t="shared" si="323"/>
        <v>1949987</v>
      </c>
      <c r="CI97" s="104">
        <f t="shared" si="324"/>
        <v>1472041</v>
      </c>
      <c r="CJ97" s="104">
        <f t="shared" si="325"/>
        <v>1648607</v>
      </c>
      <c r="CK97" s="104">
        <f t="shared" si="326"/>
        <v>2186140</v>
      </c>
      <c r="CL97" s="104">
        <f t="shared" si="327"/>
        <v>1088062</v>
      </c>
      <c r="CM97" s="104">
        <f t="shared" si="328"/>
        <v>474268</v>
      </c>
      <c r="CN97" s="104">
        <f t="shared" si="329"/>
        <v>518604</v>
      </c>
      <c r="CO97" s="104">
        <f t="shared" si="330"/>
        <v>353940</v>
      </c>
      <c r="CP97" s="104">
        <f t="shared" si="331"/>
        <v>518175</v>
      </c>
      <c r="CQ97" s="104">
        <f t="shared" si="332"/>
        <v>791810</v>
      </c>
      <c r="CR97" s="106">
        <f t="shared" si="333"/>
        <v>342163</v>
      </c>
    </row>
    <row r="98" spans="1:96" x14ac:dyDescent="0.25">
      <c r="A98" s="49"/>
      <c r="B98" s="96" t="s">
        <v>38</v>
      </c>
      <c r="C98" s="138">
        <f t="shared" ref="C98:AN98" si="345">C84+C91</f>
        <v>409398</v>
      </c>
      <c r="D98" s="28">
        <f t="shared" si="345"/>
        <v>272619</v>
      </c>
      <c r="E98" s="28">
        <f t="shared" si="345"/>
        <v>206669</v>
      </c>
      <c r="F98" s="28">
        <f t="shared" si="345"/>
        <v>170691</v>
      </c>
      <c r="G98" s="28">
        <f t="shared" si="345"/>
        <v>184866</v>
      </c>
      <c r="H98" s="28">
        <f t="shared" si="345"/>
        <v>165594</v>
      </c>
      <c r="I98" s="28">
        <f t="shared" si="345"/>
        <v>138728</v>
      </c>
      <c r="J98" s="28">
        <f t="shared" si="345"/>
        <v>186073</v>
      </c>
      <c r="K98" s="28">
        <f t="shared" si="345"/>
        <v>250238</v>
      </c>
      <c r="L98" s="72">
        <f t="shared" si="345"/>
        <v>315212</v>
      </c>
      <c r="M98" s="138">
        <f t="shared" si="345"/>
        <v>332792</v>
      </c>
      <c r="N98" s="28">
        <f t="shared" si="345"/>
        <v>267787</v>
      </c>
      <c r="O98" s="28">
        <f t="shared" si="345"/>
        <v>289423</v>
      </c>
      <c r="P98" s="28">
        <f t="shared" si="345"/>
        <v>323450</v>
      </c>
      <c r="Q98" s="28">
        <f t="shared" si="345"/>
        <v>189133</v>
      </c>
      <c r="R98" s="28">
        <f t="shared" si="345"/>
        <v>181662</v>
      </c>
      <c r="S98" s="28">
        <f t="shared" si="345"/>
        <v>179797</v>
      </c>
      <c r="T98" s="28">
        <f t="shared" si="345"/>
        <v>175947</v>
      </c>
      <c r="U98" s="28">
        <f t="shared" si="345"/>
        <v>191095.52</v>
      </c>
      <c r="V98" s="28">
        <f t="shared" si="345"/>
        <v>189585</v>
      </c>
      <c r="W98" s="28">
        <f t="shared" si="345"/>
        <v>263316</v>
      </c>
      <c r="X98" s="72">
        <f t="shared" si="345"/>
        <v>358598</v>
      </c>
      <c r="Y98" s="28">
        <f t="shared" si="345"/>
        <v>465337</v>
      </c>
      <c r="Z98" s="28">
        <f t="shared" si="345"/>
        <v>367520</v>
      </c>
      <c r="AA98" s="28">
        <f t="shared" si="345"/>
        <v>365564</v>
      </c>
      <c r="AB98" s="28">
        <f t="shared" si="345"/>
        <v>319496</v>
      </c>
      <c r="AC98" s="28">
        <f t="shared" si="345"/>
        <v>480829</v>
      </c>
      <c r="AD98" s="28">
        <f t="shared" si="345"/>
        <v>74162.100000000006</v>
      </c>
      <c r="AE98" s="28">
        <f t="shared" si="345"/>
        <v>174336</v>
      </c>
      <c r="AF98" s="28">
        <f t="shared" si="345"/>
        <v>226038</v>
      </c>
      <c r="AG98" s="28">
        <f t="shared" si="345"/>
        <v>39454</v>
      </c>
      <c r="AH98" s="28">
        <f t="shared" si="345"/>
        <v>194495</v>
      </c>
      <c r="AI98" s="28">
        <f t="shared" si="345"/>
        <v>321514</v>
      </c>
      <c r="AJ98" s="28">
        <f t="shared" si="345"/>
        <v>432022</v>
      </c>
      <c r="AK98" s="138">
        <f t="shared" si="345"/>
        <v>446912</v>
      </c>
      <c r="AL98" s="28">
        <f t="shared" si="345"/>
        <v>584590</v>
      </c>
      <c r="AM98" s="28">
        <f t="shared" si="345"/>
        <v>329651</v>
      </c>
      <c r="AN98" s="28">
        <f t="shared" si="345"/>
        <v>365988</v>
      </c>
      <c r="AO98" s="128">
        <f>14430+276988+20970+199979</f>
        <v>512367</v>
      </c>
      <c r="AP98" s="128">
        <f>SUM(5214,149432,10341,168925)</f>
        <v>333912</v>
      </c>
      <c r="AQ98" s="128">
        <f>8192+18588+4065+153169</f>
        <v>184014</v>
      </c>
      <c r="AR98" s="128">
        <f>3826+272270+3828+152215</f>
        <v>432139</v>
      </c>
      <c r="AS98" s="128">
        <f>9896+226869+2039+59225</f>
        <v>298029</v>
      </c>
      <c r="AT98" s="128">
        <f>6306+168231+4065+227590</f>
        <v>406192</v>
      </c>
      <c r="AU98" s="128">
        <f>12487+149157+8591+151492</f>
        <v>321727</v>
      </c>
      <c r="AV98" s="128">
        <f>89000+19897+239296+35903</f>
        <v>384096</v>
      </c>
      <c r="AW98" s="168">
        <f t="shared" si="335"/>
        <v>376520</v>
      </c>
      <c r="AX98" s="104">
        <f t="shared" si="311"/>
        <v>360738</v>
      </c>
      <c r="AY98" s="104">
        <f t="shared" si="311"/>
        <v>483322</v>
      </c>
      <c r="AZ98" s="104">
        <f t="shared" si="311"/>
        <v>243711</v>
      </c>
      <c r="BA98" s="104">
        <f t="shared" si="311"/>
        <v>264568</v>
      </c>
      <c r="BB98" s="104">
        <f t="shared" ref="BB98:BF98" si="346">BB84+BB91</f>
        <v>313648</v>
      </c>
      <c r="BC98" s="104">
        <f t="shared" si="346"/>
        <v>183074</v>
      </c>
      <c r="BD98" s="104">
        <f t="shared" si="346"/>
        <v>155751</v>
      </c>
      <c r="BE98" s="104">
        <f t="shared" si="346"/>
        <v>158028</v>
      </c>
      <c r="BF98" s="104">
        <f t="shared" si="346"/>
        <v>332909</v>
      </c>
      <c r="BG98" s="195">
        <f>4115+157190+9291+6923</f>
        <v>177519</v>
      </c>
      <c r="BH98" s="195">
        <v>180875</v>
      </c>
      <c r="BI98" s="168">
        <f t="shared" si="313"/>
        <v>-70392</v>
      </c>
      <c r="BJ98" s="104">
        <f t="shared" si="314"/>
        <v>-223852</v>
      </c>
      <c r="BK98" s="104">
        <f t="shared" si="315"/>
        <v>153671</v>
      </c>
      <c r="BL98" s="104">
        <f t="shared" si="316"/>
        <v>-122277</v>
      </c>
      <c r="BM98" s="104">
        <f t="shared" si="316"/>
        <v>-247799</v>
      </c>
      <c r="BN98" s="104">
        <f t="shared" si="316"/>
        <v>-20264</v>
      </c>
      <c r="BO98" s="104">
        <f t="shared" si="316"/>
        <v>-940</v>
      </c>
      <c r="BP98" s="104">
        <f t="shared" si="317"/>
        <v>-276388</v>
      </c>
      <c r="BQ98" s="104">
        <f t="shared" si="318"/>
        <v>-140001</v>
      </c>
      <c r="BR98" s="104">
        <f t="shared" si="319"/>
        <v>-73283</v>
      </c>
      <c r="BS98" s="104">
        <f t="shared" si="319"/>
        <v>-144208</v>
      </c>
      <c r="BT98" s="106">
        <f t="shared" si="319"/>
        <v>-203221</v>
      </c>
      <c r="BU98" s="168">
        <f t="shared" si="337"/>
        <v>300430</v>
      </c>
      <c r="BV98" s="104">
        <f t="shared" si="337"/>
        <v>385509</v>
      </c>
      <c r="BW98" s="104">
        <f t="shared" si="337"/>
        <v>469559</v>
      </c>
      <c r="BX98" s="104">
        <f t="shared" si="337"/>
        <v>333864</v>
      </c>
      <c r="BY98" s="104">
        <f t="shared" si="337"/>
        <v>309682</v>
      </c>
      <c r="BZ98" s="104">
        <v>256577</v>
      </c>
      <c r="CA98" s="104">
        <f t="shared" si="337"/>
        <v>294100</v>
      </c>
      <c r="CB98" s="104">
        <f t="shared" si="337"/>
        <v>277874</v>
      </c>
      <c r="CC98" s="104">
        <f t="shared" si="337"/>
        <v>240436</v>
      </c>
      <c r="CD98" s="104">
        <f t="shared" si="337"/>
        <v>433164</v>
      </c>
      <c r="CE98" s="195">
        <f t="shared" ref="CE98:CF98" si="347">CE84+CE91</f>
        <v>339141</v>
      </c>
      <c r="CF98" s="214">
        <f t="shared" si="347"/>
        <v>0</v>
      </c>
      <c r="CG98" s="168">
        <f t="shared" si="322"/>
        <v>370822</v>
      </c>
      <c r="CH98" s="104">
        <f t="shared" si="323"/>
        <v>609361</v>
      </c>
      <c r="CI98" s="104">
        <f t="shared" si="324"/>
        <v>315888</v>
      </c>
      <c r="CJ98" s="104">
        <f t="shared" si="325"/>
        <v>456141</v>
      </c>
      <c r="CK98" s="104">
        <f t="shared" si="326"/>
        <v>557481</v>
      </c>
      <c r="CL98" s="104">
        <f t="shared" si="327"/>
        <v>276841</v>
      </c>
      <c r="CM98" s="104">
        <f t="shared" si="328"/>
        <v>295040</v>
      </c>
      <c r="CN98" s="104">
        <f t="shared" si="329"/>
        <v>554262</v>
      </c>
      <c r="CO98" s="104">
        <f t="shared" si="330"/>
        <v>380437</v>
      </c>
      <c r="CP98" s="104">
        <f t="shared" si="331"/>
        <v>506447</v>
      </c>
      <c r="CQ98" s="104">
        <f t="shared" si="332"/>
        <v>483349</v>
      </c>
      <c r="CR98" s="106">
        <f t="shared" si="333"/>
        <v>203221</v>
      </c>
    </row>
    <row r="99" spans="1:96" ht="15.75" thickBot="1" x14ac:dyDescent="0.3">
      <c r="A99" s="49"/>
      <c r="B99" s="98" t="s">
        <v>39</v>
      </c>
      <c r="C99" s="157">
        <f>SUM(C94:C98)</f>
        <v>12106135</v>
      </c>
      <c r="D99" s="158">
        <f t="shared" ref="D99:V99" si="348">SUM(D94:D98)</f>
        <v>9039383</v>
      </c>
      <c r="E99" s="158">
        <f t="shared" si="348"/>
        <v>4742032</v>
      </c>
      <c r="F99" s="158">
        <f t="shared" si="348"/>
        <v>2303947</v>
      </c>
      <c r="G99" s="158">
        <f t="shared" si="348"/>
        <v>1945164</v>
      </c>
      <c r="H99" s="158">
        <f t="shared" si="348"/>
        <v>1756618</v>
      </c>
      <c r="I99" s="158">
        <f t="shared" si="348"/>
        <v>1805710</v>
      </c>
      <c r="J99" s="158">
        <f t="shared" si="348"/>
        <v>2062500</v>
      </c>
      <c r="K99" s="158">
        <f t="shared" si="348"/>
        <v>4734828</v>
      </c>
      <c r="L99" s="159">
        <f t="shared" si="348"/>
        <v>9731684</v>
      </c>
      <c r="M99" s="157">
        <f t="shared" si="348"/>
        <v>12809442</v>
      </c>
      <c r="N99" s="158">
        <f t="shared" si="348"/>
        <v>11104485</v>
      </c>
      <c r="O99" s="158">
        <f t="shared" si="348"/>
        <v>10101706</v>
      </c>
      <c r="P99" s="158">
        <f t="shared" si="348"/>
        <v>8356125</v>
      </c>
      <c r="Q99" s="158">
        <f t="shared" si="348"/>
        <v>6172402</v>
      </c>
      <c r="R99" s="158">
        <f t="shared" si="348"/>
        <v>2476216</v>
      </c>
      <c r="S99" s="158">
        <f t="shared" si="348"/>
        <v>1921778</v>
      </c>
      <c r="T99" s="158">
        <f t="shared" si="348"/>
        <v>1896715</v>
      </c>
      <c r="U99" s="158">
        <f t="shared" si="348"/>
        <v>1826069.8900000001</v>
      </c>
      <c r="V99" s="158">
        <f t="shared" si="348"/>
        <v>2280546</v>
      </c>
      <c r="W99" s="158">
        <f t="shared" ref="W99:AB99" si="349">SUM(W94:W98)</f>
        <v>4267121</v>
      </c>
      <c r="X99" s="159">
        <f t="shared" si="349"/>
        <v>8383009</v>
      </c>
      <c r="Y99" s="158">
        <f t="shared" si="349"/>
        <v>13584399</v>
      </c>
      <c r="Z99" s="158">
        <f t="shared" si="349"/>
        <v>12832479</v>
      </c>
      <c r="AA99" s="158">
        <f t="shared" si="349"/>
        <v>12012718</v>
      </c>
      <c r="AB99" s="158">
        <f t="shared" si="349"/>
        <v>8550153</v>
      </c>
      <c r="AC99" s="158">
        <f>SUM(AC94:AC98)</f>
        <v>5394988</v>
      </c>
      <c r="AD99" s="158">
        <f>SUM(AD94:AD98)</f>
        <v>2577922.06</v>
      </c>
      <c r="AE99" s="158">
        <f t="shared" ref="AE99:AN99" si="350">AE85+AE92</f>
        <v>2014920</v>
      </c>
      <c r="AF99" s="158">
        <f t="shared" si="350"/>
        <v>2179490</v>
      </c>
      <c r="AG99" s="158">
        <f t="shared" si="350"/>
        <v>1802581</v>
      </c>
      <c r="AH99" s="158">
        <f t="shared" si="350"/>
        <v>2126260</v>
      </c>
      <c r="AI99" s="158">
        <f t="shared" si="350"/>
        <v>4870785</v>
      </c>
      <c r="AJ99" s="158">
        <f t="shared" si="350"/>
        <v>11876216</v>
      </c>
      <c r="AK99" s="157">
        <f t="shared" si="350"/>
        <v>16546586</v>
      </c>
      <c r="AL99" s="158">
        <f t="shared" si="350"/>
        <v>19209882</v>
      </c>
      <c r="AM99" s="158">
        <f t="shared" si="350"/>
        <v>15266945</v>
      </c>
      <c r="AN99" s="158">
        <f t="shared" si="350"/>
        <v>13429196</v>
      </c>
      <c r="AO99" s="158">
        <f>SUM(AO94:AO98)</f>
        <v>6966701</v>
      </c>
      <c r="AP99" s="158">
        <f>SUM(AP94:AP98)</f>
        <v>4330361</v>
      </c>
      <c r="AQ99" s="158">
        <f>SUM(AQ94:AQ98)</f>
        <v>3460026</v>
      </c>
      <c r="AR99" s="158">
        <f t="shared" ref="AR99:AW99" si="351">SUM(AR94:AR98)</f>
        <v>2956767</v>
      </c>
      <c r="AS99" s="158">
        <f t="shared" si="351"/>
        <v>3092288</v>
      </c>
      <c r="AT99" s="158">
        <f t="shared" si="351"/>
        <v>3758765</v>
      </c>
      <c r="AU99" s="158">
        <f t="shared" si="351"/>
        <v>5412358</v>
      </c>
      <c r="AV99" s="158">
        <f t="shared" si="351"/>
        <v>12423415</v>
      </c>
      <c r="AW99" s="171">
        <f t="shared" si="351"/>
        <v>17443390</v>
      </c>
      <c r="AX99" s="160">
        <f t="shared" ref="AX99:BF99" si="352">SUM(AX94:AX98)</f>
        <v>16702410</v>
      </c>
      <c r="AY99" s="161">
        <f t="shared" si="352"/>
        <v>15308181</v>
      </c>
      <c r="AZ99" s="160">
        <f t="shared" si="352"/>
        <v>11692252</v>
      </c>
      <c r="BA99" s="160">
        <f t="shared" si="352"/>
        <v>5117380</v>
      </c>
      <c r="BB99" s="160">
        <f t="shared" si="352"/>
        <v>3076275</v>
      </c>
      <c r="BC99" s="160">
        <f t="shared" si="352"/>
        <v>2294760</v>
      </c>
      <c r="BD99" s="160">
        <f t="shared" si="352"/>
        <v>1891536</v>
      </c>
      <c r="BE99" s="160">
        <f t="shared" si="352"/>
        <v>2142382</v>
      </c>
      <c r="BF99" s="160">
        <f t="shared" si="352"/>
        <v>2448196</v>
      </c>
      <c r="BG99" s="104">
        <f>SUM(BG94:BG98)</f>
        <v>4715428</v>
      </c>
      <c r="BH99" s="104">
        <f>SUM(BH94:BH98)</f>
        <v>9459514</v>
      </c>
      <c r="BI99" s="168">
        <f t="shared" si="313"/>
        <v>896804</v>
      </c>
      <c r="BJ99" s="104">
        <f t="shared" si="314"/>
        <v>-2507472</v>
      </c>
      <c r="BK99" s="104">
        <f t="shared" si="315"/>
        <v>41236</v>
      </c>
      <c r="BL99" s="104">
        <f t="shared" si="316"/>
        <v>-1736944</v>
      </c>
      <c r="BM99" s="104">
        <f t="shared" si="316"/>
        <v>-1849321</v>
      </c>
      <c r="BN99" s="104">
        <f t="shared" si="316"/>
        <v>-1254086</v>
      </c>
      <c r="BO99" s="104">
        <f t="shared" si="316"/>
        <v>-1165266</v>
      </c>
      <c r="BP99" s="104">
        <f t="shared" si="317"/>
        <v>-1065231</v>
      </c>
      <c r="BQ99" s="104">
        <f t="shared" si="318"/>
        <v>-949906</v>
      </c>
      <c r="BR99" s="104">
        <f t="shared" si="319"/>
        <v>-1310569</v>
      </c>
      <c r="BS99" s="104">
        <f t="shared" si="319"/>
        <v>-696930</v>
      </c>
      <c r="BT99" s="106">
        <f t="shared" si="319"/>
        <v>-2963901</v>
      </c>
      <c r="BU99" s="171">
        <f t="shared" ref="BU99:CD99" si="353">SUM(BU94:BU98)</f>
        <v>11634565</v>
      </c>
      <c r="BV99" s="160">
        <f t="shared" si="353"/>
        <v>12822754</v>
      </c>
      <c r="BW99" s="160">
        <f t="shared" si="353"/>
        <v>10765363</v>
      </c>
      <c r="BX99" s="160">
        <f t="shared" si="353"/>
        <v>8897178</v>
      </c>
      <c r="BY99" s="160">
        <f t="shared" si="353"/>
        <v>6830424</v>
      </c>
      <c r="BZ99" s="160">
        <v>3451339</v>
      </c>
      <c r="CA99" s="160">
        <f t="shared" si="353"/>
        <v>2647514</v>
      </c>
      <c r="CB99" s="160">
        <f t="shared" si="353"/>
        <v>2466112</v>
      </c>
      <c r="CC99" s="160">
        <f t="shared" si="353"/>
        <v>2305802</v>
      </c>
      <c r="CD99" s="160">
        <f t="shared" si="353"/>
        <v>2833233</v>
      </c>
      <c r="CE99" s="104">
        <f t="shared" ref="CE99:CF99" si="354">SUM(CE94:CE98)</f>
        <v>5178891</v>
      </c>
      <c r="CF99" s="106">
        <f t="shared" si="354"/>
        <v>0</v>
      </c>
      <c r="CG99" s="168">
        <f t="shared" si="322"/>
        <v>10737761</v>
      </c>
      <c r="CH99" s="104">
        <f t="shared" si="323"/>
        <v>15330226</v>
      </c>
      <c r="CI99" s="104">
        <f t="shared" si="324"/>
        <v>10724127</v>
      </c>
      <c r="CJ99" s="104">
        <f t="shared" si="325"/>
        <v>10634122</v>
      </c>
      <c r="CK99" s="104">
        <f t="shared" si="326"/>
        <v>8679745</v>
      </c>
      <c r="CL99" s="104">
        <f t="shared" si="327"/>
        <v>4705425</v>
      </c>
      <c r="CM99" s="104">
        <f t="shared" si="328"/>
        <v>3812780</v>
      </c>
      <c r="CN99" s="104">
        <f t="shared" si="329"/>
        <v>3531343</v>
      </c>
      <c r="CO99" s="104">
        <f t="shared" si="330"/>
        <v>3255708</v>
      </c>
      <c r="CP99" s="104">
        <f t="shared" si="331"/>
        <v>4143802</v>
      </c>
      <c r="CQ99" s="104">
        <f t="shared" si="332"/>
        <v>5875821</v>
      </c>
      <c r="CR99" s="106">
        <f t="shared" si="333"/>
        <v>2963901</v>
      </c>
    </row>
    <row r="100" spans="1:96" x14ac:dyDescent="0.25">
      <c r="A100" s="49">
        <f>+A93+1</f>
        <v>14</v>
      </c>
      <c r="B100" s="110" t="s">
        <v>33</v>
      </c>
      <c r="C100" s="154"/>
      <c r="D100" s="111"/>
      <c r="E100" s="111"/>
      <c r="F100" s="111"/>
      <c r="G100" s="111"/>
      <c r="H100" s="111"/>
      <c r="I100" s="111"/>
      <c r="J100" s="111"/>
      <c r="K100" s="111"/>
      <c r="L100" s="112"/>
      <c r="M100" s="154"/>
      <c r="N100" s="111"/>
      <c r="O100" s="111"/>
      <c r="P100" s="111"/>
      <c r="Q100" s="111"/>
      <c r="R100" s="111"/>
      <c r="S100" s="111"/>
      <c r="T100" s="111"/>
      <c r="U100" s="111"/>
      <c r="V100" s="111"/>
      <c r="W100" s="111"/>
      <c r="X100" s="112"/>
      <c r="Y100" s="111"/>
      <c r="Z100" s="111"/>
      <c r="AA100" s="111"/>
      <c r="AB100" s="111"/>
      <c r="AC100" s="111"/>
      <c r="AD100" s="111"/>
      <c r="AE100" s="111"/>
      <c r="AF100" s="111"/>
      <c r="AG100" s="111"/>
      <c r="AH100" s="111"/>
      <c r="AI100" s="111"/>
      <c r="AJ100" s="111"/>
      <c r="AK100" s="154"/>
      <c r="AL100" s="111"/>
      <c r="AM100" s="111"/>
      <c r="AN100" s="111"/>
      <c r="AO100" s="111"/>
      <c r="AP100" s="111"/>
      <c r="AQ100" s="111"/>
      <c r="AR100" s="111"/>
      <c r="AS100" s="111"/>
      <c r="AT100" s="111"/>
      <c r="AU100" s="111"/>
      <c r="AV100" s="111"/>
      <c r="AW100" s="164"/>
      <c r="AX100" s="94"/>
      <c r="AY100" s="94"/>
      <c r="AZ100" s="156"/>
      <c r="BA100" s="94"/>
      <c r="BB100" s="94"/>
      <c r="BC100" s="94"/>
      <c r="BD100" s="94"/>
      <c r="BE100" s="94"/>
      <c r="BF100" s="94"/>
      <c r="BG100" s="94"/>
      <c r="BH100" s="95"/>
      <c r="BI100" s="164"/>
      <c r="BJ100" s="94"/>
      <c r="BK100" s="94"/>
      <c r="BL100" s="156"/>
      <c r="BM100" s="156"/>
      <c r="BN100" s="156"/>
      <c r="BO100" s="156"/>
      <c r="BP100" s="156"/>
      <c r="BQ100" s="156"/>
      <c r="BR100" s="156"/>
      <c r="BS100" s="156"/>
      <c r="BT100" s="203"/>
      <c r="BU100" s="164"/>
      <c r="BV100" s="94"/>
      <c r="BW100" s="94"/>
      <c r="BX100" s="94"/>
      <c r="BY100" s="94"/>
      <c r="BZ100" s="94"/>
      <c r="CA100" s="94"/>
      <c r="CB100" s="94"/>
      <c r="CC100" s="94"/>
      <c r="CD100" s="94"/>
      <c r="CE100" s="94"/>
      <c r="CF100" s="95"/>
      <c r="CG100" s="164"/>
      <c r="CH100" s="94"/>
      <c r="CI100" s="94"/>
      <c r="CJ100" s="156"/>
      <c r="CK100" s="156"/>
      <c r="CL100" s="156"/>
      <c r="CM100" s="156"/>
      <c r="CN100" s="156"/>
      <c r="CO100" s="156"/>
      <c r="CP100" s="156"/>
      <c r="CQ100" s="156"/>
      <c r="CR100" s="203"/>
    </row>
    <row r="101" spans="1:96" x14ac:dyDescent="0.25">
      <c r="A101" s="49"/>
      <c r="B101" s="96" t="s">
        <v>34</v>
      </c>
      <c r="C101" s="138">
        <v>6224696.2800000003</v>
      </c>
      <c r="D101" s="28">
        <v>5966497.21</v>
      </c>
      <c r="E101" s="28">
        <v>4109908.97</v>
      </c>
      <c r="F101" s="28">
        <v>2389317.29</v>
      </c>
      <c r="G101" s="28">
        <v>1869752.79</v>
      </c>
      <c r="H101" s="28">
        <v>1382025.56</v>
      </c>
      <c r="I101" s="28">
        <v>1280183.56</v>
      </c>
      <c r="J101" s="28">
        <v>1381879.3</v>
      </c>
      <c r="K101" s="28">
        <v>1370910.83</v>
      </c>
      <c r="L101" s="72">
        <v>3476734.93</v>
      </c>
      <c r="M101" s="138">
        <v>5089419.13</v>
      </c>
      <c r="N101" s="28">
        <v>6093875.9000000004</v>
      </c>
      <c r="O101" s="28">
        <v>6288096.2400000002</v>
      </c>
      <c r="P101" s="28">
        <v>5142196.13</v>
      </c>
      <c r="Q101" s="28">
        <v>4068503.46</v>
      </c>
      <c r="R101" s="28">
        <v>3756883.99</v>
      </c>
      <c r="S101" s="28">
        <v>1873972.34</v>
      </c>
      <c r="T101" s="28">
        <v>1460567.9</v>
      </c>
      <c r="U101" s="28">
        <v>1376164.47</v>
      </c>
      <c r="V101" s="28">
        <v>1484271.12</v>
      </c>
      <c r="W101" s="28">
        <v>1553679.22</v>
      </c>
      <c r="X101" s="72">
        <v>3091867.4</v>
      </c>
      <c r="Y101" s="28">
        <v>4969355.67</v>
      </c>
      <c r="Z101" s="28">
        <v>5624037.3700000001</v>
      </c>
      <c r="AA101" s="28">
        <v>8160353.6500000004</v>
      </c>
      <c r="AB101" s="28">
        <v>5480730.5</v>
      </c>
      <c r="AC101" s="28" t="e">
        <f>SUM(#REF!)</f>
        <v>#REF!</v>
      </c>
      <c r="AD101" s="28">
        <v>5696281.6500000004</v>
      </c>
      <c r="AE101" s="28">
        <v>3353089.44</v>
      </c>
      <c r="AF101" s="28">
        <v>3454109.01</v>
      </c>
      <c r="AG101" s="83">
        <v>2425754.1</v>
      </c>
      <c r="AH101" s="83">
        <v>2387264.5499999998</v>
      </c>
      <c r="AI101" s="83">
        <v>5549704.0800000001</v>
      </c>
      <c r="AJ101" s="83">
        <v>5998795.0599999996</v>
      </c>
      <c r="AK101" s="213">
        <v>10179783.84</v>
      </c>
      <c r="AL101" s="83">
        <v>10179783.84</v>
      </c>
      <c r="AM101" s="83">
        <v>18607589.84</v>
      </c>
      <c r="AN101" s="83">
        <v>12244120.189999999</v>
      </c>
      <c r="AO101" s="83">
        <v>10929667.42</v>
      </c>
      <c r="AP101" s="83">
        <v>7211448.1500000004</v>
      </c>
      <c r="AQ101" s="83">
        <v>5286146.83</v>
      </c>
      <c r="AR101" s="83">
        <v>4449164.1900000004</v>
      </c>
      <c r="AS101" s="83">
        <v>3167591.56</v>
      </c>
      <c r="AT101" s="83">
        <v>3796430.66</v>
      </c>
      <c r="AU101" s="83">
        <v>4480771.84</v>
      </c>
      <c r="AV101" s="83">
        <v>6844121.3600000003</v>
      </c>
      <c r="AW101" s="168">
        <v>12671556.220000001</v>
      </c>
      <c r="AX101" s="104">
        <v>13569731.15</v>
      </c>
      <c r="AY101" s="104">
        <v>15584492.300000001</v>
      </c>
      <c r="AZ101" s="104">
        <v>11923103.810000001</v>
      </c>
      <c r="BA101" s="104">
        <v>11073320.039999999</v>
      </c>
      <c r="BB101" s="104">
        <v>6101403.8499999996</v>
      </c>
      <c r="BC101" s="104">
        <f>SUM(2294760+4226455)</f>
        <v>6521215</v>
      </c>
      <c r="BD101" s="104">
        <v>3670362.26</v>
      </c>
      <c r="BE101" s="104">
        <v>2645696.54</v>
      </c>
      <c r="BF101" s="104">
        <v>3073377.6</v>
      </c>
      <c r="BG101" s="104">
        <v>3155962.49</v>
      </c>
      <c r="BH101" s="104">
        <v>5340086.24</v>
      </c>
      <c r="BI101" s="168">
        <f t="shared" ref="BI101" si="355">AW101-AK101</f>
        <v>2491772.3800000008</v>
      </c>
      <c r="BJ101" s="104">
        <f t="shared" ref="BJ101" si="356">AX101-AL101</f>
        <v>3389947.3100000005</v>
      </c>
      <c r="BK101" s="104">
        <f t="shared" ref="BK101" si="357">AY101-AM101</f>
        <v>-3023097.5399999991</v>
      </c>
      <c r="BL101" s="104">
        <f t="shared" ref="BL101:BO101" si="358">AZ101-AN101</f>
        <v>-321016.37999999896</v>
      </c>
      <c r="BM101" s="104">
        <f t="shared" si="358"/>
        <v>143652.61999999918</v>
      </c>
      <c r="BN101" s="104">
        <f t="shared" si="358"/>
        <v>-1110044.3000000007</v>
      </c>
      <c r="BO101" s="104">
        <f t="shared" si="358"/>
        <v>1235068.17</v>
      </c>
      <c r="BP101" s="104">
        <f t="shared" ref="BP101" si="359">BD101-AR101</f>
        <v>-778801.93000000063</v>
      </c>
      <c r="BQ101" s="104">
        <f t="shared" ref="BQ101" si="360">BE101-AS101</f>
        <v>-521895.02</v>
      </c>
      <c r="BR101" s="104">
        <f t="shared" ref="BR101:BT101" si="361">BF101-AT101</f>
        <v>-723053.06</v>
      </c>
      <c r="BS101" s="104">
        <f t="shared" si="361"/>
        <v>-1324809.3499999996</v>
      </c>
      <c r="BT101" s="106">
        <f t="shared" si="361"/>
        <v>-1504035.12</v>
      </c>
      <c r="BU101" s="168">
        <v>8599150.8800000008</v>
      </c>
      <c r="BV101" s="104">
        <v>10022999.09</v>
      </c>
      <c r="BW101" s="104">
        <v>12338727.74</v>
      </c>
      <c r="BX101" s="104">
        <v>11072969.539999999</v>
      </c>
      <c r="BY101" s="104">
        <v>8881954.2100000009</v>
      </c>
      <c r="BZ101" s="104">
        <v>5356461.2699999996</v>
      </c>
      <c r="CA101" s="104">
        <v>4223558.6100000003</v>
      </c>
      <c r="CB101" s="104">
        <v>3278022.12</v>
      </c>
      <c r="CC101" s="104">
        <v>3414505.64</v>
      </c>
      <c r="CD101" s="104">
        <v>2944897.92</v>
      </c>
      <c r="CE101" s="104">
        <v>3169043.46</v>
      </c>
      <c r="CF101" s="106"/>
      <c r="CG101" s="168">
        <f t="shared" ref="CG101" si="362">BU101-BI101</f>
        <v>6107378.5</v>
      </c>
      <c r="CH101" s="104">
        <f t="shared" ref="CH101" si="363">BV101-BJ101</f>
        <v>6633051.7799999993</v>
      </c>
      <c r="CI101" s="104">
        <f t="shared" ref="CI101" si="364">BW101-BK101</f>
        <v>15361825.279999999</v>
      </c>
      <c r="CJ101" s="104">
        <f t="shared" ref="CJ101" si="365">BX101-BL101</f>
        <v>11393985.919999998</v>
      </c>
      <c r="CK101" s="104">
        <f t="shared" ref="CK101" si="366">BY101-BM101</f>
        <v>8738301.5900000017</v>
      </c>
      <c r="CL101" s="104">
        <f t="shared" ref="CL101" si="367">BZ101-BN101</f>
        <v>6466505.5700000003</v>
      </c>
      <c r="CM101" s="104">
        <f t="shared" ref="CM101" si="368">CA101-BO101</f>
        <v>2988490.4400000004</v>
      </c>
      <c r="CN101" s="104">
        <f t="shared" ref="CN101" si="369">CB101-BP101</f>
        <v>4056824.0500000007</v>
      </c>
      <c r="CO101" s="104">
        <f t="shared" ref="CO101" si="370">CC101-BQ101</f>
        <v>3936400.66</v>
      </c>
      <c r="CP101" s="104">
        <f t="shared" ref="CP101" si="371">CD101-BR101</f>
        <v>3667950.98</v>
      </c>
      <c r="CQ101" s="104">
        <f t="shared" ref="CQ101" si="372">CE101-BS101</f>
        <v>4493852.8099999996</v>
      </c>
      <c r="CR101" s="106">
        <f t="shared" ref="CR101" si="373">CF101-BT101</f>
        <v>1504035.12</v>
      </c>
    </row>
    <row r="102" spans="1:96" x14ac:dyDescent="0.25">
      <c r="A102" s="49"/>
      <c r="B102" s="96" t="s">
        <v>35</v>
      </c>
      <c r="C102" s="138">
        <v>1152704.6599999999</v>
      </c>
      <c r="D102" s="28">
        <v>1205346.18</v>
      </c>
      <c r="E102" s="28">
        <v>1113240.8999999999</v>
      </c>
      <c r="F102" s="28">
        <v>334407.42</v>
      </c>
      <c r="G102" s="28">
        <v>243720.66</v>
      </c>
      <c r="H102" s="28">
        <v>206173.58</v>
      </c>
      <c r="I102" s="28">
        <v>178229.8</v>
      </c>
      <c r="J102" s="28">
        <v>188945.35</v>
      </c>
      <c r="K102" s="28">
        <v>288079.65000000002</v>
      </c>
      <c r="L102" s="72">
        <v>538926.78</v>
      </c>
      <c r="M102" s="138">
        <v>1370380.67</v>
      </c>
      <c r="N102" s="28">
        <v>1174618.57</v>
      </c>
      <c r="O102" s="28">
        <v>1223880.3400000001</v>
      </c>
      <c r="P102" s="28">
        <v>572923.34</v>
      </c>
      <c r="Q102" s="28">
        <v>790662.2</v>
      </c>
      <c r="R102" s="28">
        <v>540631.37</v>
      </c>
      <c r="S102" s="28">
        <v>322995.63</v>
      </c>
      <c r="T102" s="28">
        <v>163410.35999999999</v>
      </c>
      <c r="U102" s="28">
        <v>144194.82</v>
      </c>
      <c r="V102" s="28">
        <v>142063.85</v>
      </c>
      <c r="W102" s="28">
        <v>131282.1</v>
      </c>
      <c r="X102" s="72">
        <v>363426.81</v>
      </c>
      <c r="Y102" s="28">
        <v>597678.12</v>
      </c>
      <c r="Z102" s="28">
        <v>837373.62</v>
      </c>
      <c r="AA102" s="28">
        <v>1541214.99</v>
      </c>
      <c r="AB102" s="28">
        <v>1666763.74</v>
      </c>
      <c r="AC102" s="28" t="e">
        <f>SUM(#REF!)</f>
        <v>#REF!</v>
      </c>
      <c r="AD102" s="28" t="e">
        <f>SUM(#REF!)</f>
        <v>#REF!</v>
      </c>
      <c r="AE102" s="28">
        <v>0</v>
      </c>
      <c r="AF102" s="28">
        <v>0</v>
      </c>
      <c r="AG102" s="28">
        <v>0</v>
      </c>
      <c r="AH102" s="28"/>
      <c r="AI102" s="28"/>
      <c r="AJ102" s="28"/>
      <c r="AK102" s="138"/>
      <c r="AL102" s="28"/>
      <c r="AM102" s="28"/>
      <c r="AN102" s="28"/>
      <c r="AO102" s="28"/>
      <c r="AP102" s="28"/>
      <c r="AQ102" s="28"/>
      <c r="AR102" s="28"/>
      <c r="AS102" s="28"/>
      <c r="AT102" s="28"/>
      <c r="AU102" s="28"/>
      <c r="AV102" s="28"/>
      <c r="AW102" s="168"/>
      <c r="AX102" s="104"/>
      <c r="AY102" s="104"/>
      <c r="AZ102" s="104"/>
      <c r="BA102" s="104"/>
      <c r="BB102" s="104"/>
      <c r="BC102" s="104"/>
      <c r="BD102" s="104"/>
      <c r="BE102" s="104"/>
      <c r="BF102" s="104"/>
      <c r="BG102" s="44"/>
      <c r="BH102" s="97"/>
      <c r="BI102" s="170"/>
      <c r="BJ102" s="44"/>
      <c r="BK102" s="44"/>
      <c r="BL102" s="104"/>
      <c r="BM102" s="104"/>
      <c r="BN102" s="104"/>
      <c r="BO102" s="104"/>
      <c r="BP102" s="104"/>
      <c r="BQ102" s="104"/>
      <c r="BR102" s="104"/>
      <c r="BS102" s="104"/>
      <c r="BT102" s="106"/>
      <c r="BU102" s="168">
        <v>0</v>
      </c>
      <c r="BV102" s="104">
        <v>0</v>
      </c>
      <c r="BW102" s="104">
        <v>0</v>
      </c>
      <c r="BX102" s="104">
        <v>0</v>
      </c>
      <c r="BY102" s="104">
        <v>0</v>
      </c>
      <c r="BZ102" s="104">
        <v>0</v>
      </c>
      <c r="CA102" s="104">
        <v>0</v>
      </c>
      <c r="CB102" s="104">
        <v>0</v>
      </c>
      <c r="CC102" s="104">
        <v>0</v>
      </c>
      <c r="CD102" s="104">
        <v>0</v>
      </c>
      <c r="CE102" s="104">
        <v>0</v>
      </c>
      <c r="CF102" s="97"/>
      <c r="CG102" s="170"/>
      <c r="CH102" s="44"/>
      <c r="CI102" s="44"/>
      <c r="CJ102" s="104"/>
      <c r="CK102" s="104"/>
      <c r="CL102" s="104"/>
      <c r="CM102" s="104"/>
      <c r="CN102" s="104"/>
      <c r="CO102" s="104"/>
      <c r="CP102" s="104"/>
      <c r="CQ102" s="104"/>
      <c r="CR102" s="106"/>
    </row>
    <row r="103" spans="1:96" x14ac:dyDescent="0.25">
      <c r="A103" s="49"/>
      <c r="B103" s="96" t="s">
        <v>36</v>
      </c>
      <c r="C103" s="138">
        <v>1338903.8600000001</v>
      </c>
      <c r="D103" s="28">
        <v>1253267.72</v>
      </c>
      <c r="E103" s="28">
        <v>736421.66</v>
      </c>
      <c r="F103" s="28">
        <v>389481.37</v>
      </c>
      <c r="G103" s="28">
        <v>249568.06</v>
      </c>
      <c r="H103" s="28">
        <v>181985.06</v>
      </c>
      <c r="I103" s="28">
        <v>171141.23</v>
      </c>
      <c r="J103" s="28">
        <v>207768.59</v>
      </c>
      <c r="K103" s="28">
        <v>220879.42</v>
      </c>
      <c r="L103" s="72">
        <v>642369.98</v>
      </c>
      <c r="M103" s="138">
        <v>926205.67</v>
      </c>
      <c r="N103" s="28">
        <v>1284933.42</v>
      </c>
      <c r="O103" s="28">
        <v>1338234.06</v>
      </c>
      <c r="P103" s="28">
        <v>944649.84</v>
      </c>
      <c r="Q103" s="28">
        <v>686592.76</v>
      </c>
      <c r="R103" s="28">
        <v>662227.56999999995</v>
      </c>
      <c r="S103" s="28">
        <v>269127.25</v>
      </c>
      <c r="T103" s="28">
        <v>226509.85</v>
      </c>
      <c r="U103" s="28">
        <v>230746.62</v>
      </c>
      <c r="V103" s="28">
        <v>194491.59</v>
      </c>
      <c r="W103" s="28">
        <v>200497.33</v>
      </c>
      <c r="X103" s="72">
        <v>465900.4</v>
      </c>
      <c r="Y103" s="28">
        <v>897870.5</v>
      </c>
      <c r="Z103" s="28">
        <v>1220382.67</v>
      </c>
      <c r="AA103" s="28">
        <v>1849852.36</v>
      </c>
      <c r="AB103" s="28">
        <v>1220906.53</v>
      </c>
      <c r="AC103" s="28" t="e">
        <f>SUM(#REF!)</f>
        <v>#REF!</v>
      </c>
      <c r="AD103" s="28" t="e">
        <f>SUM(#REF!)</f>
        <v>#REF!</v>
      </c>
      <c r="AE103" s="28">
        <v>0</v>
      </c>
      <c r="AF103" s="28">
        <v>0</v>
      </c>
      <c r="AG103" s="28">
        <v>0</v>
      </c>
      <c r="AH103" s="28"/>
      <c r="AI103" s="28"/>
      <c r="AJ103" s="28"/>
      <c r="AK103" s="138"/>
      <c r="AL103" s="28"/>
      <c r="AM103" s="28"/>
      <c r="AN103" s="28"/>
      <c r="AO103" s="28"/>
      <c r="AP103" s="28"/>
      <c r="AQ103" s="28"/>
      <c r="AR103" s="28"/>
      <c r="AS103" s="28"/>
      <c r="AT103" s="28"/>
      <c r="AU103" s="28"/>
      <c r="AV103" s="28"/>
      <c r="AW103" s="168"/>
      <c r="AX103" s="104"/>
      <c r="AY103" s="104"/>
      <c r="AZ103" s="104"/>
      <c r="BA103" s="104"/>
      <c r="BB103" s="104"/>
      <c r="BC103" s="104"/>
      <c r="BD103" s="104"/>
      <c r="BE103" s="104"/>
      <c r="BF103" s="104"/>
      <c r="BG103" s="44"/>
      <c r="BH103" s="97"/>
      <c r="BI103" s="170"/>
      <c r="BJ103" s="44"/>
      <c r="BK103" s="44"/>
      <c r="BL103" s="104"/>
      <c r="BM103" s="104"/>
      <c r="BN103" s="104"/>
      <c r="BO103" s="104"/>
      <c r="BP103" s="104"/>
      <c r="BQ103" s="104"/>
      <c r="BR103" s="104"/>
      <c r="BS103" s="104"/>
      <c r="BT103" s="106"/>
      <c r="BU103" s="168">
        <v>0</v>
      </c>
      <c r="BV103" s="104">
        <v>0</v>
      </c>
      <c r="BW103" s="104">
        <v>0</v>
      </c>
      <c r="BX103" s="104">
        <v>0</v>
      </c>
      <c r="BY103" s="104">
        <v>0</v>
      </c>
      <c r="BZ103" s="104">
        <v>0</v>
      </c>
      <c r="CA103" s="104">
        <v>0</v>
      </c>
      <c r="CB103" s="104">
        <v>0</v>
      </c>
      <c r="CC103" s="104">
        <v>0</v>
      </c>
      <c r="CD103" s="104">
        <v>0</v>
      </c>
      <c r="CE103" s="104">
        <v>0</v>
      </c>
      <c r="CF103" s="97"/>
      <c r="CG103" s="170"/>
      <c r="CH103" s="44"/>
      <c r="CI103" s="44"/>
      <c r="CJ103" s="104"/>
      <c r="CK103" s="104"/>
      <c r="CL103" s="104"/>
      <c r="CM103" s="104"/>
      <c r="CN103" s="104"/>
      <c r="CO103" s="104"/>
      <c r="CP103" s="104"/>
      <c r="CQ103" s="104"/>
      <c r="CR103" s="106"/>
    </row>
    <row r="104" spans="1:96" x14ac:dyDescent="0.25">
      <c r="A104" s="49"/>
      <c r="B104" s="96" t="s">
        <v>37</v>
      </c>
      <c r="C104" s="138">
        <v>1928917.59</v>
      </c>
      <c r="D104" s="28">
        <v>1689842.93</v>
      </c>
      <c r="E104" s="28">
        <v>1068180.8799999999</v>
      </c>
      <c r="F104" s="28">
        <v>587471.06000000006</v>
      </c>
      <c r="G104" s="28">
        <v>373450.97</v>
      </c>
      <c r="H104" s="28">
        <v>208150.33</v>
      </c>
      <c r="I104" s="28">
        <v>185953.29</v>
      </c>
      <c r="J104" s="28">
        <v>232630.14</v>
      </c>
      <c r="K104" s="28">
        <v>252697.01699999999</v>
      </c>
      <c r="L104" s="72">
        <v>809851.28</v>
      </c>
      <c r="M104" s="138">
        <v>1112456.3500000001</v>
      </c>
      <c r="N104" s="28">
        <v>1544069.19</v>
      </c>
      <c r="O104" s="28">
        <v>1676548.89</v>
      </c>
      <c r="P104" s="28">
        <v>1123779.1599999999</v>
      </c>
      <c r="Q104" s="28">
        <v>850744.08</v>
      </c>
      <c r="R104" s="28">
        <v>841788.72</v>
      </c>
      <c r="S104" s="28">
        <v>321609.38</v>
      </c>
      <c r="T104" s="28">
        <v>222264.56</v>
      </c>
      <c r="U104" s="28">
        <v>231548.13</v>
      </c>
      <c r="V104" s="28">
        <v>246717.02</v>
      </c>
      <c r="W104" s="28">
        <v>258288.5</v>
      </c>
      <c r="X104" s="72">
        <v>618248.94999999995</v>
      </c>
      <c r="Y104" s="28">
        <v>1009552.11</v>
      </c>
      <c r="Z104" s="28">
        <v>1462723.26</v>
      </c>
      <c r="AA104" s="28">
        <v>2456826.89</v>
      </c>
      <c r="AB104" s="28">
        <v>1386065.66</v>
      </c>
      <c r="AC104" s="28" t="e">
        <f>SUM(#REF!)</f>
        <v>#REF!</v>
      </c>
      <c r="AD104" s="28" t="e">
        <f>SUM(#REF!)</f>
        <v>#REF!</v>
      </c>
      <c r="AE104" s="28">
        <v>0</v>
      </c>
      <c r="AF104" s="28">
        <v>0</v>
      </c>
      <c r="AG104" s="28">
        <v>0</v>
      </c>
      <c r="AH104" s="28"/>
      <c r="AI104" s="28"/>
      <c r="AJ104" s="28"/>
      <c r="AK104" s="138"/>
      <c r="AL104" s="28"/>
      <c r="AM104" s="28"/>
      <c r="AN104" s="28"/>
      <c r="AO104" s="28"/>
      <c r="AP104" s="28"/>
      <c r="AQ104" s="28"/>
      <c r="AR104" s="28"/>
      <c r="AS104" s="28"/>
      <c r="AT104" s="28"/>
      <c r="AU104" s="28"/>
      <c r="AV104" s="28"/>
      <c r="AW104" s="168"/>
      <c r="AX104" s="104"/>
      <c r="AY104" s="104"/>
      <c r="AZ104" s="104"/>
      <c r="BA104" s="104"/>
      <c r="BB104" s="104"/>
      <c r="BC104" s="104"/>
      <c r="BD104" s="104"/>
      <c r="BE104" s="104"/>
      <c r="BF104" s="104"/>
      <c r="BG104" s="44"/>
      <c r="BH104" s="97"/>
      <c r="BI104" s="170"/>
      <c r="BJ104" s="44"/>
      <c r="BK104" s="44"/>
      <c r="BL104" s="104"/>
      <c r="BM104" s="104"/>
      <c r="BN104" s="104"/>
      <c r="BO104" s="104"/>
      <c r="BP104" s="104"/>
      <c r="BQ104" s="104"/>
      <c r="BR104" s="104"/>
      <c r="BS104" s="104"/>
      <c r="BT104" s="106"/>
      <c r="BU104" s="168">
        <v>0</v>
      </c>
      <c r="BV104" s="104">
        <v>0</v>
      </c>
      <c r="BW104" s="104">
        <v>0</v>
      </c>
      <c r="BX104" s="104">
        <v>0</v>
      </c>
      <c r="BY104" s="104">
        <v>0</v>
      </c>
      <c r="BZ104" s="104">
        <v>0</v>
      </c>
      <c r="CA104" s="104">
        <v>0</v>
      </c>
      <c r="CB104" s="104">
        <v>0</v>
      </c>
      <c r="CC104" s="104">
        <v>0</v>
      </c>
      <c r="CD104" s="104">
        <v>0</v>
      </c>
      <c r="CE104" s="104">
        <v>0</v>
      </c>
      <c r="CF104" s="97"/>
      <c r="CG104" s="170"/>
      <c r="CH104" s="44"/>
      <c r="CI104" s="44"/>
      <c r="CJ104" s="104"/>
      <c r="CK104" s="104"/>
      <c r="CL104" s="104"/>
      <c r="CM104" s="104"/>
      <c r="CN104" s="104"/>
      <c r="CO104" s="104"/>
      <c r="CP104" s="104"/>
      <c r="CQ104" s="104"/>
      <c r="CR104" s="106"/>
    </row>
    <row r="105" spans="1:96" x14ac:dyDescent="0.25">
      <c r="A105" s="49"/>
      <c r="B105" s="96" t="s">
        <v>38</v>
      </c>
      <c r="C105" s="138">
        <v>542865.93000000005</v>
      </c>
      <c r="D105" s="28">
        <v>690944.67</v>
      </c>
      <c r="E105" s="28">
        <v>201634.94</v>
      </c>
      <c r="F105" s="28">
        <v>582547</v>
      </c>
      <c r="G105" s="28">
        <v>395762.86</v>
      </c>
      <c r="H105" s="28">
        <v>355310.46</v>
      </c>
      <c r="I105" s="28">
        <v>341466.93</v>
      </c>
      <c r="J105" s="28">
        <v>278171.59999999998</v>
      </c>
      <c r="K105" s="28">
        <v>347851.2</v>
      </c>
      <c r="L105" s="72">
        <v>416494.79</v>
      </c>
      <c r="M105" s="138">
        <v>470839.95</v>
      </c>
      <c r="N105" s="28">
        <v>468482.97</v>
      </c>
      <c r="O105" s="28">
        <v>470029.83</v>
      </c>
      <c r="P105" s="28">
        <v>349206.2</v>
      </c>
      <c r="Q105" s="28">
        <v>376956.64</v>
      </c>
      <c r="R105" s="28">
        <v>528877.03</v>
      </c>
      <c r="S105" s="28">
        <v>353511.97</v>
      </c>
      <c r="T105" s="28">
        <v>420958.27</v>
      </c>
      <c r="U105" s="28">
        <v>337894.28</v>
      </c>
      <c r="V105" s="28">
        <v>389343.91</v>
      </c>
      <c r="W105" s="28">
        <v>188692.81</v>
      </c>
      <c r="X105" s="72">
        <v>640813.85</v>
      </c>
      <c r="Y105" s="28">
        <v>520252.57</v>
      </c>
      <c r="Z105" s="28">
        <v>529662.76</v>
      </c>
      <c r="AA105" s="28">
        <v>943216.09</v>
      </c>
      <c r="AB105" s="28">
        <v>558217.62</v>
      </c>
      <c r="AC105" s="28" t="e">
        <f>SUM(#REF!)</f>
        <v>#REF!</v>
      </c>
      <c r="AD105" s="28" t="e">
        <f>SUM(#REF!)</f>
        <v>#REF!</v>
      </c>
      <c r="AE105" s="28">
        <v>0</v>
      </c>
      <c r="AF105" s="28">
        <v>0</v>
      </c>
      <c r="AG105" s="28">
        <v>0</v>
      </c>
      <c r="AH105" s="28"/>
      <c r="AI105" s="28"/>
      <c r="AJ105" s="28"/>
      <c r="AK105" s="138"/>
      <c r="AL105" s="28"/>
      <c r="AM105" s="28"/>
      <c r="AN105" s="28"/>
      <c r="AO105" s="28"/>
      <c r="AP105" s="28"/>
      <c r="AQ105" s="28"/>
      <c r="AR105" s="28"/>
      <c r="AS105" s="28"/>
      <c r="AT105" s="28"/>
      <c r="AU105" s="28"/>
      <c r="AV105" s="28"/>
      <c r="AW105" s="168"/>
      <c r="AX105" s="104"/>
      <c r="AY105" s="104"/>
      <c r="AZ105" s="104"/>
      <c r="BA105" s="104"/>
      <c r="BB105" s="104"/>
      <c r="BC105" s="104"/>
      <c r="BD105" s="104"/>
      <c r="BE105" s="104"/>
      <c r="BF105" s="104"/>
      <c r="BG105" s="44"/>
      <c r="BH105" s="97"/>
      <c r="BI105" s="170"/>
      <c r="BJ105" s="44"/>
      <c r="BK105" s="44"/>
      <c r="BL105" s="104"/>
      <c r="BM105" s="104"/>
      <c r="BN105" s="104"/>
      <c r="BO105" s="104"/>
      <c r="BP105" s="104"/>
      <c r="BQ105" s="104"/>
      <c r="BR105" s="104"/>
      <c r="BS105" s="104"/>
      <c r="BT105" s="106"/>
      <c r="BU105" s="168">
        <v>0</v>
      </c>
      <c r="BV105" s="104">
        <v>0</v>
      </c>
      <c r="BW105" s="104">
        <v>0</v>
      </c>
      <c r="BX105" s="104">
        <v>0</v>
      </c>
      <c r="BY105" s="104">
        <v>0</v>
      </c>
      <c r="BZ105" s="104">
        <v>0</v>
      </c>
      <c r="CA105" s="104">
        <v>0</v>
      </c>
      <c r="CB105" s="104">
        <v>0</v>
      </c>
      <c r="CC105" s="104">
        <v>0</v>
      </c>
      <c r="CD105" s="104">
        <v>0</v>
      </c>
      <c r="CE105" s="104">
        <v>0</v>
      </c>
      <c r="CF105" s="97"/>
      <c r="CG105" s="170"/>
      <c r="CH105" s="44"/>
      <c r="CI105" s="44"/>
      <c r="CJ105" s="104"/>
      <c r="CK105" s="104"/>
      <c r="CL105" s="104"/>
      <c r="CM105" s="104"/>
      <c r="CN105" s="104"/>
      <c r="CO105" s="104"/>
      <c r="CP105" s="104"/>
      <c r="CQ105" s="104"/>
      <c r="CR105" s="106"/>
    </row>
    <row r="106" spans="1:96" x14ac:dyDescent="0.25">
      <c r="A106" s="49"/>
      <c r="B106" s="96" t="s">
        <v>39</v>
      </c>
      <c r="C106" s="138">
        <f>SUM(C101:C105)</f>
        <v>11188088.32</v>
      </c>
      <c r="D106" s="28">
        <f>SUM(D101:D105)</f>
        <v>10805898.709999999</v>
      </c>
      <c r="E106" s="28">
        <f t="shared" ref="E106:V106" si="374">SUM(E101:E105)</f>
        <v>7229387.3500000006</v>
      </c>
      <c r="F106" s="28">
        <f t="shared" si="374"/>
        <v>4283224.1400000006</v>
      </c>
      <c r="G106" s="28">
        <f t="shared" si="374"/>
        <v>3132255.3400000003</v>
      </c>
      <c r="H106" s="28">
        <f t="shared" si="374"/>
        <v>2333644.9900000002</v>
      </c>
      <c r="I106" s="28">
        <f t="shared" si="374"/>
        <v>2156974.81</v>
      </c>
      <c r="J106" s="28">
        <f t="shared" si="374"/>
        <v>2289394.9800000004</v>
      </c>
      <c r="K106" s="28">
        <f t="shared" si="374"/>
        <v>2480418.1170000001</v>
      </c>
      <c r="L106" s="72">
        <f t="shared" si="374"/>
        <v>5884377.7599999998</v>
      </c>
      <c r="M106" s="138">
        <f t="shared" si="374"/>
        <v>8969301.7699999996</v>
      </c>
      <c r="N106" s="28">
        <f t="shared" si="374"/>
        <v>10565980.050000001</v>
      </c>
      <c r="O106" s="28">
        <f t="shared" si="374"/>
        <v>10996789.360000001</v>
      </c>
      <c r="P106" s="28">
        <f t="shared" si="374"/>
        <v>8132754.6699999999</v>
      </c>
      <c r="Q106" s="28">
        <f t="shared" si="374"/>
        <v>6773459.1399999997</v>
      </c>
      <c r="R106" s="28">
        <f t="shared" si="374"/>
        <v>6330408.6800000006</v>
      </c>
      <c r="S106" s="28">
        <f t="shared" si="374"/>
        <v>3141216.5700000003</v>
      </c>
      <c r="T106" s="28">
        <f t="shared" si="374"/>
        <v>2493710.94</v>
      </c>
      <c r="U106" s="28">
        <f t="shared" si="374"/>
        <v>2320548.3200000003</v>
      </c>
      <c r="V106" s="28">
        <f t="shared" si="374"/>
        <v>2456887.4900000002</v>
      </c>
      <c r="W106" s="28">
        <f t="shared" ref="W106:AB106" si="375">SUM(W101:W105)</f>
        <v>2332439.9600000004</v>
      </c>
      <c r="X106" s="72">
        <f t="shared" si="375"/>
        <v>5180257.4099999992</v>
      </c>
      <c r="Y106" s="28">
        <f t="shared" si="375"/>
        <v>7994708.9700000007</v>
      </c>
      <c r="Z106" s="28">
        <f t="shared" si="375"/>
        <v>9674179.6799999997</v>
      </c>
      <c r="AA106" s="28">
        <f t="shared" si="375"/>
        <v>14951463.98</v>
      </c>
      <c r="AB106" s="28">
        <f t="shared" si="375"/>
        <v>10312684.049999999</v>
      </c>
      <c r="AC106" s="28" t="e">
        <f t="shared" ref="AC106:AI106" si="376">SUM(AC101:AC105)</f>
        <v>#REF!</v>
      </c>
      <c r="AD106" s="28" t="e">
        <f t="shared" si="376"/>
        <v>#REF!</v>
      </c>
      <c r="AE106" s="28">
        <f t="shared" si="376"/>
        <v>3353089.44</v>
      </c>
      <c r="AF106" s="28">
        <f t="shared" si="376"/>
        <v>3454109.01</v>
      </c>
      <c r="AG106" s="28">
        <f t="shared" si="376"/>
        <v>2425754.1</v>
      </c>
      <c r="AH106" s="28">
        <f t="shared" si="376"/>
        <v>2387264.5499999998</v>
      </c>
      <c r="AI106" s="28">
        <f t="shared" si="376"/>
        <v>5549704.0800000001</v>
      </c>
      <c r="AJ106" s="28">
        <f>SUM(AJ101:AJ105)</f>
        <v>5998795.0599999996</v>
      </c>
      <c r="AK106" s="138">
        <f>SUM(AK101:AK105)</f>
        <v>10179783.84</v>
      </c>
      <c r="AL106" s="28">
        <v>14623207.449999999</v>
      </c>
      <c r="AM106" s="28">
        <v>14623207.449999999</v>
      </c>
      <c r="AN106" s="28">
        <v>14623207.449999999</v>
      </c>
      <c r="AO106" s="28">
        <f>SUM(AO101:AO105)</f>
        <v>10929667.42</v>
      </c>
      <c r="AP106" s="28">
        <v>7211448.1500000004</v>
      </c>
      <c r="AQ106" s="28">
        <v>5286146.83</v>
      </c>
      <c r="AR106" s="129">
        <v>4449164.1900000004</v>
      </c>
      <c r="AS106" s="83">
        <v>3167591.56</v>
      </c>
      <c r="AT106" s="83">
        <v>3796430.66</v>
      </c>
      <c r="AU106" s="83">
        <v>4480771.84</v>
      </c>
      <c r="AV106" s="83">
        <v>6844121.3600000003</v>
      </c>
      <c r="AW106" s="168">
        <f>AW101</f>
        <v>12671556.220000001</v>
      </c>
      <c r="AX106" s="104">
        <f>AX101</f>
        <v>13569731.15</v>
      </c>
      <c r="AY106" s="104">
        <f t="shared" ref="AY106:BB106" si="377">AY101</f>
        <v>15584492.300000001</v>
      </c>
      <c r="AZ106" s="104">
        <f t="shared" si="377"/>
        <v>11923103.810000001</v>
      </c>
      <c r="BA106" s="104">
        <f t="shared" si="377"/>
        <v>11073320.039999999</v>
      </c>
      <c r="BB106" s="104">
        <f t="shared" si="377"/>
        <v>6101403.8499999996</v>
      </c>
      <c r="BC106" s="104">
        <f>SUM(BC101:BC105)</f>
        <v>6521215</v>
      </c>
      <c r="BD106" s="104">
        <v>3670362</v>
      </c>
      <c r="BE106" s="104">
        <v>2645696.54</v>
      </c>
      <c r="BF106" s="104">
        <v>3073377.6</v>
      </c>
      <c r="BG106" s="104">
        <v>3155962.49</v>
      </c>
      <c r="BH106" s="104">
        <v>5340086.24</v>
      </c>
      <c r="BI106" s="168">
        <f t="shared" ref="BI106" si="378">AW106-AK106</f>
        <v>2491772.3800000008</v>
      </c>
      <c r="BJ106" s="104">
        <f t="shared" ref="BJ106" si="379">AX106-AL106</f>
        <v>-1053476.2999999989</v>
      </c>
      <c r="BK106" s="104">
        <f t="shared" ref="BK106" si="380">AY106-AM106</f>
        <v>961284.85000000149</v>
      </c>
      <c r="BL106" s="104">
        <f t="shared" ref="BL106:BO106" si="381">AZ106-AN106</f>
        <v>-2700103.6399999987</v>
      </c>
      <c r="BM106" s="104">
        <f t="shared" si="381"/>
        <v>143652.61999999918</v>
      </c>
      <c r="BN106" s="104">
        <f t="shared" si="381"/>
        <v>-1110044.3000000007</v>
      </c>
      <c r="BO106" s="104">
        <f t="shared" si="381"/>
        <v>1235068.17</v>
      </c>
      <c r="BP106" s="104">
        <f t="shared" ref="BP106" si="382">BD106-AR106</f>
        <v>-778802.19000000041</v>
      </c>
      <c r="BQ106" s="104">
        <f t="shared" ref="BQ106" si="383">BE106-AS106</f>
        <v>-521895.02</v>
      </c>
      <c r="BR106" s="104">
        <f t="shared" ref="BR106:BT106" si="384">BF106-AT106</f>
        <v>-723053.06</v>
      </c>
      <c r="BS106" s="104">
        <f t="shared" si="384"/>
        <v>-1324809.3499999996</v>
      </c>
      <c r="BT106" s="106">
        <f t="shared" si="384"/>
        <v>-1504035.12</v>
      </c>
      <c r="BU106" s="168">
        <f>BU101</f>
        <v>8599150.8800000008</v>
      </c>
      <c r="BV106" s="104">
        <f>BV101</f>
        <v>10022999.09</v>
      </c>
      <c r="BW106" s="104">
        <f t="shared" ref="BW106:BY106" si="385">BW101</f>
        <v>12338727.74</v>
      </c>
      <c r="BX106" s="104">
        <f t="shared" si="385"/>
        <v>11072969.539999999</v>
      </c>
      <c r="BY106" s="104">
        <f t="shared" si="385"/>
        <v>8881954.2100000009</v>
      </c>
      <c r="BZ106" s="104">
        <v>5356461.2699999996</v>
      </c>
      <c r="CA106" s="104">
        <f>SUM(CA101:CA105)</f>
        <v>4223558.6100000003</v>
      </c>
      <c r="CB106" s="104">
        <f t="shared" ref="CB106:CF106" si="386">SUM(CB101:CB105)</f>
        <v>3278022.12</v>
      </c>
      <c r="CC106" s="104">
        <f t="shared" si="386"/>
        <v>3414505.64</v>
      </c>
      <c r="CD106" s="104">
        <f t="shared" si="386"/>
        <v>2944897.92</v>
      </c>
      <c r="CE106" s="104">
        <f t="shared" si="386"/>
        <v>3169043.46</v>
      </c>
      <c r="CF106" s="106">
        <f t="shared" si="386"/>
        <v>0</v>
      </c>
      <c r="CG106" s="168">
        <f t="shared" ref="CG106" si="387">BU106-BI106</f>
        <v>6107378.5</v>
      </c>
      <c r="CH106" s="104">
        <f t="shared" ref="CH106" si="388">BV106-BJ106</f>
        <v>11076475.389999999</v>
      </c>
      <c r="CI106" s="104">
        <f t="shared" ref="CI106" si="389">BW106-BK106</f>
        <v>11377442.889999999</v>
      </c>
      <c r="CJ106" s="104">
        <f t="shared" ref="CJ106" si="390">BX106-BL106</f>
        <v>13773073.179999998</v>
      </c>
      <c r="CK106" s="104">
        <f t="shared" ref="CK106" si="391">BY106-BM106</f>
        <v>8738301.5900000017</v>
      </c>
      <c r="CL106" s="104">
        <f t="shared" ref="CL106" si="392">BZ106-BN106</f>
        <v>6466505.5700000003</v>
      </c>
      <c r="CM106" s="104">
        <f t="shared" ref="CM106" si="393">CA106-BO106</f>
        <v>2988490.4400000004</v>
      </c>
      <c r="CN106" s="104">
        <f t="shared" ref="CN106" si="394">CB106-BP106</f>
        <v>4056824.3100000005</v>
      </c>
      <c r="CO106" s="104">
        <f t="shared" ref="CO106" si="395">CC106-BQ106</f>
        <v>3936400.66</v>
      </c>
      <c r="CP106" s="104">
        <f t="shared" ref="CP106" si="396">CD106-BR106</f>
        <v>3667950.98</v>
      </c>
      <c r="CQ106" s="104">
        <f t="shared" ref="CQ106" si="397">CE106-BS106</f>
        <v>4493852.8099999996</v>
      </c>
      <c r="CR106" s="106">
        <f t="shared" ref="CR106" si="398">CF106-BT106</f>
        <v>1504035.12</v>
      </c>
    </row>
    <row r="107" spans="1:96" x14ac:dyDescent="0.25">
      <c r="A107" s="49">
        <f>+A100+1</f>
        <v>15</v>
      </c>
      <c r="B107" s="109" t="s">
        <v>30</v>
      </c>
      <c r="C107" s="141"/>
      <c r="D107" s="130"/>
      <c r="E107" s="130"/>
      <c r="F107" s="130"/>
      <c r="G107" s="130"/>
      <c r="H107" s="130"/>
      <c r="I107" s="130"/>
      <c r="J107" s="130"/>
      <c r="K107" s="130"/>
      <c r="L107" s="142"/>
      <c r="M107" s="141"/>
      <c r="N107" s="130"/>
      <c r="O107" s="130"/>
      <c r="P107" s="130"/>
      <c r="Q107" s="130"/>
      <c r="R107" s="130"/>
      <c r="S107" s="130"/>
      <c r="T107" s="130"/>
      <c r="U107" s="130"/>
      <c r="V107" s="130"/>
      <c r="W107" s="130"/>
      <c r="X107" s="142"/>
      <c r="Y107" s="130"/>
      <c r="Z107" s="130"/>
      <c r="AA107" s="130"/>
      <c r="AB107" s="130"/>
      <c r="AC107" s="130"/>
      <c r="AD107" s="130"/>
      <c r="AE107" s="130"/>
      <c r="AF107" s="130"/>
      <c r="AG107" s="130"/>
      <c r="AH107" s="130"/>
      <c r="AI107" s="130"/>
      <c r="AJ107" s="130"/>
      <c r="AK107" s="141"/>
      <c r="AL107" s="130"/>
      <c r="AM107" s="130"/>
      <c r="AN107" s="130"/>
      <c r="AO107" s="130"/>
      <c r="AP107" s="130"/>
      <c r="AQ107" s="130"/>
      <c r="AR107" s="130"/>
      <c r="AS107" s="130"/>
      <c r="AT107" s="130"/>
      <c r="AU107" s="130"/>
      <c r="AV107" s="130"/>
      <c r="AW107" s="170"/>
      <c r="AX107" s="44"/>
      <c r="AY107" s="44"/>
      <c r="AZ107" s="104"/>
      <c r="BA107" s="44"/>
      <c r="BB107" s="44"/>
      <c r="BC107" s="44"/>
      <c r="BD107" s="44"/>
      <c r="BE107" s="44"/>
      <c r="BF107" s="44"/>
      <c r="BG107" s="44"/>
      <c r="BH107" s="44"/>
      <c r="BI107" s="170"/>
      <c r="BJ107" s="44"/>
      <c r="BK107" s="44"/>
      <c r="BL107" s="104"/>
      <c r="BM107" s="104"/>
      <c r="BN107" s="104"/>
      <c r="BO107" s="104"/>
      <c r="BP107" s="104"/>
      <c r="BQ107" s="104"/>
      <c r="BR107" s="104"/>
      <c r="BS107" s="104"/>
      <c r="BT107" s="106"/>
      <c r="BU107" s="170"/>
      <c r="BV107" s="44"/>
      <c r="BW107" s="44"/>
      <c r="BX107" s="44"/>
      <c r="BY107" s="44"/>
      <c r="BZ107" s="44"/>
      <c r="CA107" s="44"/>
      <c r="CB107" s="44"/>
      <c r="CC107" s="44"/>
      <c r="CD107" s="44"/>
      <c r="CE107" s="44"/>
      <c r="CF107" s="97"/>
      <c r="CG107" s="170"/>
      <c r="CH107" s="44"/>
      <c r="CI107" s="44"/>
      <c r="CJ107" s="104"/>
      <c r="CK107" s="104"/>
      <c r="CL107" s="104"/>
      <c r="CM107" s="104"/>
      <c r="CN107" s="104"/>
      <c r="CO107" s="104"/>
      <c r="CP107" s="104"/>
      <c r="CQ107" s="104"/>
      <c r="CR107" s="106"/>
    </row>
    <row r="108" spans="1:96" x14ac:dyDescent="0.25">
      <c r="A108" s="49"/>
      <c r="B108" s="96" t="s">
        <v>34</v>
      </c>
      <c r="C108" s="135">
        <v>31838</v>
      </c>
      <c r="D108" s="45">
        <v>33081</v>
      </c>
      <c r="E108" s="45">
        <v>31193</v>
      </c>
      <c r="F108" s="45">
        <v>28141</v>
      </c>
      <c r="G108" s="45">
        <v>31124</v>
      </c>
      <c r="H108" s="45">
        <v>28268</v>
      </c>
      <c r="I108" s="45">
        <v>28195</v>
      </c>
      <c r="J108" s="45">
        <v>31279</v>
      </c>
      <c r="K108" s="45">
        <v>24640</v>
      </c>
      <c r="L108" s="136">
        <v>33868</v>
      </c>
      <c r="M108" s="135">
        <v>30933</v>
      </c>
      <c r="N108" s="45">
        <v>32879</v>
      </c>
      <c r="O108" s="45">
        <v>36883</v>
      </c>
      <c r="P108" s="45">
        <v>33330</v>
      </c>
      <c r="Q108" s="45">
        <v>29310</v>
      </c>
      <c r="R108" s="45">
        <v>38391</v>
      </c>
      <c r="S108" s="45">
        <v>31047</v>
      </c>
      <c r="T108" s="45">
        <v>29739</v>
      </c>
      <c r="U108" s="45">
        <v>30126</v>
      </c>
      <c r="V108" s="45">
        <v>30533</v>
      </c>
      <c r="W108" s="45">
        <v>26370</v>
      </c>
      <c r="X108" s="136">
        <v>35953</v>
      </c>
      <c r="Y108" s="45">
        <v>31799</v>
      </c>
      <c r="Z108" s="45">
        <v>29599</v>
      </c>
      <c r="AA108" s="45">
        <v>41022</v>
      </c>
      <c r="AB108" s="45">
        <v>31195</v>
      </c>
      <c r="AC108" s="45" t="e">
        <f>SUM(#REF!)</f>
        <v>#REF!</v>
      </c>
      <c r="AD108" s="45">
        <v>44363</v>
      </c>
      <c r="AE108" s="45">
        <v>34709</v>
      </c>
      <c r="AF108" s="45">
        <v>43611</v>
      </c>
      <c r="AG108" s="45">
        <v>35467</v>
      </c>
      <c r="AH108" s="45">
        <v>35471</v>
      </c>
      <c r="AI108" s="45">
        <v>45890</v>
      </c>
      <c r="AJ108" s="45">
        <v>36512</v>
      </c>
      <c r="AK108" s="135">
        <v>38422</v>
      </c>
      <c r="AL108" s="45">
        <v>45460</v>
      </c>
      <c r="AM108" s="45">
        <f>AM113</f>
        <v>51973</v>
      </c>
      <c r="AN108" s="45">
        <v>40205</v>
      </c>
      <c r="AO108" s="45">
        <v>45993</v>
      </c>
      <c r="AP108" s="45">
        <v>43332</v>
      </c>
      <c r="AQ108" s="45">
        <v>36878</v>
      </c>
      <c r="AR108" s="45">
        <v>42834</v>
      </c>
      <c r="AS108" s="45">
        <v>33950</v>
      </c>
      <c r="AT108" s="45">
        <v>37025</v>
      </c>
      <c r="AU108" s="45">
        <v>38307</v>
      </c>
      <c r="AV108" s="45">
        <v>37583</v>
      </c>
      <c r="AW108" s="167">
        <v>46194</v>
      </c>
      <c r="AX108" s="101">
        <v>45282</v>
      </c>
      <c r="AY108" s="101">
        <v>51285</v>
      </c>
      <c r="AZ108" s="100">
        <v>41999</v>
      </c>
      <c r="BA108" s="100">
        <v>51854</v>
      </c>
      <c r="BB108" s="100">
        <v>40618</v>
      </c>
      <c r="BC108" s="100">
        <f>SUM(2329+40518+240)</f>
        <v>43087</v>
      </c>
      <c r="BD108" s="100">
        <v>40397</v>
      </c>
      <c r="BE108" s="100">
        <v>35500</v>
      </c>
      <c r="BF108" s="100">
        <v>57258</v>
      </c>
      <c r="BG108" s="100">
        <v>53375</v>
      </c>
      <c r="BH108" s="100">
        <v>58454</v>
      </c>
      <c r="BI108" s="165">
        <f t="shared" ref="BI108" si="399">AW108-AK108</f>
        <v>7772</v>
      </c>
      <c r="BJ108" s="100">
        <f t="shared" ref="BJ108" si="400">AX108-AL108</f>
        <v>-178</v>
      </c>
      <c r="BK108" s="100">
        <f t="shared" ref="BK108" si="401">AY108-AM108</f>
        <v>-688</v>
      </c>
      <c r="BL108" s="100">
        <f t="shared" ref="BL108:BO108" si="402">AZ108-AN108</f>
        <v>1794</v>
      </c>
      <c r="BM108" s="100">
        <f t="shared" si="402"/>
        <v>5861</v>
      </c>
      <c r="BN108" s="100">
        <f t="shared" si="402"/>
        <v>-2714</v>
      </c>
      <c r="BO108" s="100">
        <f t="shared" si="402"/>
        <v>6209</v>
      </c>
      <c r="BP108" s="100">
        <f t="shared" ref="BP108" si="403">BD108-AR108</f>
        <v>-2437</v>
      </c>
      <c r="BQ108" s="100">
        <f t="shared" ref="BQ108" si="404">BE108-AS108</f>
        <v>1550</v>
      </c>
      <c r="BR108" s="100">
        <f t="shared" ref="BR108:BT108" si="405">BF108-AT108</f>
        <v>20233</v>
      </c>
      <c r="BS108" s="100">
        <f t="shared" si="405"/>
        <v>15068</v>
      </c>
      <c r="BT108" s="200">
        <f t="shared" si="405"/>
        <v>20871</v>
      </c>
      <c r="BU108" s="167">
        <v>44692</v>
      </c>
      <c r="BV108" s="101">
        <v>44624</v>
      </c>
      <c r="BW108" s="101">
        <v>48124</v>
      </c>
      <c r="BX108" s="101">
        <v>50994</v>
      </c>
      <c r="BY108" s="101">
        <v>48141</v>
      </c>
      <c r="BZ108" s="100">
        <v>39947</v>
      </c>
      <c r="CA108" s="100">
        <v>40939</v>
      </c>
      <c r="CB108" s="100">
        <v>38642</v>
      </c>
      <c r="CC108" s="100">
        <v>34878</v>
      </c>
      <c r="CD108" s="100">
        <v>39694</v>
      </c>
      <c r="CE108" s="100">
        <v>33329</v>
      </c>
      <c r="CF108" s="200"/>
      <c r="CG108" s="165">
        <f t="shared" ref="CG108" si="406">BU108-BI108</f>
        <v>36920</v>
      </c>
      <c r="CH108" s="100">
        <f t="shared" ref="CH108" si="407">BV108-BJ108</f>
        <v>44802</v>
      </c>
      <c r="CI108" s="100">
        <f t="shared" ref="CI108" si="408">BW108-BK108</f>
        <v>48812</v>
      </c>
      <c r="CJ108" s="100">
        <f t="shared" ref="CJ108" si="409">BX108-BL108</f>
        <v>49200</v>
      </c>
      <c r="CK108" s="100">
        <f t="shared" ref="CK108" si="410">BY108-BM108</f>
        <v>42280</v>
      </c>
      <c r="CL108" s="100">
        <f t="shared" ref="CL108" si="411">BZ108-BN108</f>
        <v>42661</v>
      </c>
      <c r="CM108" s="100">
        <f t="shared" ref="CM108" si="412">CA108-BO108</f>
        <v>34730</v>
      </c>
      <c r="CN108" s="100">
        <f t="shared" ref="CN108" si="413">CB108-BP108</f>
        <v>41079</v>
      </c>
      <c r="CO108" s="100">
        <f t="shared" ref="CO108" si="414">CC108-BQ108</f>
        <v>33328</v>
      </c>
      <c r="CP108" s="100">
        <f t="shared" ref="CP108" si="415">CD108-BR108</f>
        <v>19461</v>
      </c>
      <c r="CQ108" s="100">
        <f t="shared" ref="CQ108" si="416">CE108-BS108</f>
        <v>18261</v>
      </c>
      <c r="CR108" s="200">
        <f t="shared" ref="CR108" si="417">CF108-BT108</f>
        <v>-20871</v>
      </c>
    </row>
    <row r="109" spans="1:96" x14ac:dyDescent="0.25">
      <c r="A109" s="49"/>
      <c r="B109" s="96" t="s">
        <v>35</v>
      </c>
      <c r="C109" s="135">
        <v>6771</v>
      </c>
      <c r="D109" s="45">
        <v>7575</v>
      </c>
      <c r="E109" s="45">
        <v>9731</v>
      </c>
      <c r="F109" s="45">
        <v>5421</v>
      </c>
      <c r="G109" s="45">
        <v>3682</v>
      </c>
      <c r="H109" s="45">
        <v>3839</v>
      </c>
      <c r="I109" s="45">
        <v>3977</v>
      </c>
      <c r="J109" s="45">
        <v>4349</v>
      </c>
      <c r="K109" s="45">
        <v>4452</v>
      </c>
      <c r="L109" s="136">
        <v>5266</v>
      </c>
      <c r="M109" s="135">
        <v>9600</v>
      </c>
      <c r="N109" s="45">
        <v>7934</v>
      </c>
      <c r="O109" s="45">
        <v>9447</v>
      </c>
      <c r="P109" s="45">
        <v>4771</v>
      </c>
      <c r="Q109" s="45">
        <v>8029</v>
      </c>
      <c r="R109" s="45">
        <v>8259</v>
      </c>
      <c r="S109" s="45">
        <v>3985</v>
      </c>
      <c r="T109" s="45">
        <v>3239</v>
      </c>
      <c r="U109" s="45">
        <v>3654</v>
      </c>
      <c r="V109" s="45">
        <v>3666</v>
      </c>
      <c r="W109" s="45">
        <v>3130</v>
      </c>
      <c r="X109" s="136">
        <v>4775</v>
      </c>
      <c r="Y109" s="45">
        <v>4778</v>
      </c>
      <c r="Z109" s="45">
        <v>5514</v>
      </c>
      <c r="AA109" s="45">
        <v>9198</v>
      </c>
      <c r="AB109" s="45">
        <v>8874</v>
      </c>
      <c r="AC109" s="45" t="e">
        <f>SUM(#REF!)</f>
        <v>#REF!</v>
      </c>
      <c r="AD109" s="45" t="e">
        <f>SUM(#REF!)</f>
        <v>#REF!</v>
      </c>
      <c r="AE109" s="45">
        <v>0</v>
      </c>
      <c r="AF109" s="45">
        <v>0</v>
      </c>
      <c r="AG109" s="45">
        <v>0</v>
      </c>
      <c r="AH109" s="45"/>
      <c r="AI109" s="45"/>
      <c r="AJ109" s="45"/>
      <c r="AK109" s="135"/>
      <c r="AL109" s="45"/>
      <c r="AM109" s="45"/>
      <c r="AN109" s="45"/>
      <c r="AO109" s="45"/>
      <c r="AP109" s="45"/>
      <c r="AQ109" s="45"/>
      <c r="AR109" s="45"/>
      <c r="AS109" s="45"/>
      <c r="AT109" s="45"/>
      <c r="AU109" s="45"/>
      <c r="AV109" s="45"/>
      <c r="AW109" s="165"/>
      <c r="AX109" s="100"/>
      <c r="AY109" s="100"/>
      <c r="AZ109" s="100"/>
      <c r="BA109" s="44"/>
      <c r="BB109" s="44"/>
      <c r="BC109" s="44"/>
      <c r="BD109" s="44"/>
      <c r="BE109" s="44"/>
      <c r="BF109" s="44"/>
      <c r="BG109" s="44"/>
      <c r="BH109" s="97"/>
      <c r="BI109" s="165"/>
      <c r="BJ109" s="100"/>
      <c r="BK109" s="100"/>
      <c r="BL109" s="100"/>
      <c r="BM109" s="100"/>
      <c r="BN109" s="100"/>
      <c r="BO109" s="100"/>
      <c r="BP109" s="100"/>
      <c r="BQ109" s="100"/>
      <c r="BR109" s="100"/>
      <c r="BS109" s="100"/>
      <c r="BT109" s="200"/>
      <c r="BU109" s="165">
        <v>0</v>
      </c>
      <c r="BV109" s="100">
        <v>0</v>
      </c>
      <c r="BW109" s="100">
        <v>0</v>
      </c>
      <c r="BX109" s="100">
        <v>0</v>
      </c>
      <c r="BY109" s="100">
        <v>0</v>
      </c>
      <c r="BZ109" s="100">
        <v>0</v>
      </c>
      <c r="CA109" s="100">
        <v>0</v>
      </c>
      <c r="CB109" s="100">
        <v>0</v>
      </c>
      <c r="CC109" s="100">
        <v>0</v>
      </c>
      <c r="CD109" s="100">
        <v>0</v>
      </c>
      <c r="CE109" s="100">
        <v>0</v>
      </c>
      <c r="CF109" s="97"/>
      <c r="CG109" s="165"/>
      <c r="CH109" s="100"/>
      <c r="CI109" s="100"/>
      <c r="CJ109" s="100"/>
      <c r="CK109" s="100"/>
      <c r="CL109" s="100"/>
      <c r="CM109" s="100"/>
      <c r="CN109" s="100"/>
      <c r="CO109" s="100"/>
      <c r="CP109" s="100"/>
      <c r="CQ109" s="100"/>
      <c r="CR109" s="200"/>
    </row>
    <row r="110" spans="1:96" x14ac:dyDescent="0.25">
      <c r="A110" s="49"/>
      <c r="B110" s="96" t="s">
        <v>36</v>
      </c>
      <c r="C110" s="135">
        <v>3168</v>
      </c>
      <c r="D110" s="45">
        <v>3289</v>
      </c>
      <c r="E110" s="45">
        <v>2956</v>
      </c>
      <c r="F110" s="45">
        <v>2949</v>
      </c>
      <c r="G110" s="45">
        <v>3102</v>
      </c>
      <c r="H110" s="45">
        <v>2928</v>
      </c>
      <c r="I110" s="45">
        <v>2930</v>
      </c>
      <c r="J110" s="45">
        <v>3201</v>
      </c>
      <c r="K110" s="45">
        <v>2573</v>
      </c>
      <c r="L110" s="136">
        <v>3455</v>
      </c>
      <c r="M110" s="135">
        <v>2837</v>
      </c>
      <c r="N110" s="45">
        <v>3239</v>
      </c>
      <c r="O110" s="45">
        <v>3787</v>
      </c>
      <c r="P110" s="45">
        <v>2883</v>
      </c>
      <c r="Q110" s="45">
        <v>2709</v>
      </c>
      <c r="R110" s="45">
        <v>3920</v>
      </c>
      <c r="S110" s="45">
        <v>3094</v>
      </c>
      <c r="T110" s="45">
        <v>3053</v>
      </c>
      <c r="U110" s="45">
        <v>3107</v>
      </c>
      <c r="V110" s="45">
        <v>2979</v>
      </c>
      <c r="W110" s="45">
        <v>2659</v>
      </c>
      <c r="X110" s="136">
        <v>3469</v>
      </c>
      <c r="Y110" s="45">
        <v>3078</v>
      </c>
      <c r="Z110" s="45">
        <v>2937</v>
      </c>
      <c r="AA110" s="45">
        <v>4377</v>
      </c>
      <c r="AB110" s="45">
        <v>3298</v>
      </c>
      <c r="AC110" s="45" t="e">
        <f>SUM(#REF!)</f>
        <v>#REF!</v>
      </c>
      <c r="AD110" s="45" t="e">
        <f>SUM(#REF!)</f>
        <v>#REF!</v>
      </c>
      <c r="AE110" s="45">
        <v>0</v>
      </c>
      <c r="AF110" s="45">
        <v>0</v>
      </c>
      <c r="AG110" s="45">
        <v>0</v>
      </c>
      <c r="AH110" s="45"/>
      <c r="AI110" s="45"/>
      <c r="AJ110" s="45"/>
      <c r="AK110" s="135"/>
      <c r="AL110" s="45"/>
      <c r="AM110" s="45"/>
      <c r="AN110" s="45"/>
      <c r="AO110" s="45"/>
      <c r="AP110" s="45"/>
      <c r="AQ110" s="45"/>
      <c r="AR110" s="45"/>
      <c r="AS110" s="45"/>
      <c r="AT110" s="45"/>
      <c r="AU110" s="45"/>
      <c r="AV110" s="45"/>
      <c r="AW110" s="165"/>
      <c r="AX110" s="100"/>
      <c r="AY110" s="100"/>
      <c r="AZ110" s="100"/>
      <c r="BA110" s="44"/>
      <c r="BB110" s="44"/>
      <c r="BC110" s="44"/>
      <c r="BD110" s="44"/>
      <c r="BE110" s="44"/>
      <c r="BF110" s="44"/>
      <c r="BG110" s="44"/>
      <c r="BH110" s="97"/>
      <c r="BI110" s="165"/>
      <c r="BJ110" s="100"/>
      <c r="BK110" s="100"/>
      <c r="BL110" s="100"/>
      <c r="BM110" s="100"/>
      <c r="BN110" s="100"/>
      <c r="BO110" s="100"/>
      <c r="BP110" s="100"/>
      <c r="BQ110" s="100"/>
      <c r="BR110" s="100"/>
      <c r="BS110" s="100"/>
      <c r="BT110" s="200"/>
      <c r="BU110" s="165">
        <v>0</v>
      </c>
      <c r="BV110" s="100">
        <v>0</v>
      </c>
      <c r="BW110" s="100">
        <v>0</v>
      </c>
      <c r="BX110" s="100">
        <v>0</v>
      </c>
      <c r="BY110" s="100">
        <v>0</v>
      </c>
      <c r="BZ110" s="100">
        <v>0</v>
      </c>
      <c r="CA110" s="100">
        <v>0</v>
      </c>
      <c r="CB110" s="100">
        <v>0</v>
      </c>
      <c r="CC110" s="100">
        <v>0</v>
      </c>
      <c r="CD110" s="100">
        <v>0</v>
      </c>
      <c r="CE110" s="100">
        <v>0</v>
      </c>
      <c r="CF110" s="97"/>
      <c r="CG110" s="165"/>
      <c r="CH110" s="100"/>
      <c r="CI110" s="100"/>
      <c r="CJ110" s="100"/>
      <c r="CK110" s="100"/>
      <c r="CL110" s="100"/>
      <c r="CM110" s="100"/>
      <c r="CN110" s="100"/>
      <c r="CO110" s="100"/>
      <c r="CP110" s="100"/>
      <c r="CQ110" s="100"/>
      <c r="CR110" s="200"/>
    </row>
    <row r="111" spans="1:96" x14ac:dyDescent="0.25">
      <c r="A111" s="49"/>
      <c r="B111" s="96" t="s">
        <v>37</v>
      </c>
      <c r="C111" s="135">
        <v>549</v>
      </c>
      <c r="D111" s="45">
        <v>568</v>
      </c>
      <c r="E111" s="45">
        <v>486</v>
      </c>
      <c r="F111" s="45">
        <v>478</v>
      </c>
      <c r="G111" s="45">
        <v>558</v>
      </c>
      <c r="H111" s="45">
        <v>489</v>
      </c>
      <c r="I111" s="45">
        <v>471</v>
      </c>
      <c r="J111" s="45">
        <v>537</v>
      </c>
      <c r="K111" s="45">
        <v>406</v>
      </c>
      <c r="L111" s="136">
        <v>562</v>
      </c>
      <c r="M111" s="135">
        <v>454</v>
      </c>
      <c r="N111" s="45">
        <v>483</v>
      </c>
      <c r="O111" s="45">
        <v>598</v>
      </c>
      <c r="P111" s="45">
        <v>444</v>
      </c>
      <c r="Q111" s="45">
        <v>402</v>
      </c>
      <c r="R111" s="45">
        <v>608</v>
      </c>
      <c r="S111" s="45">
        <v>506</v>
      </c>
      <c r="T111" s="45">
        <v>470</v>
      </c>
      <c r="U111" s="45">
        <v>497</v>
      </c>
      <c r="V111" s="45">
        <v>456</v>
      </c>
      <c r="W111" s="45">
        <v>397</v>
      </c>
      <c r="X111" s="136">
        <v>528</v>
      </c>
      <c r="Y111" s="45">
        <v>488</v>
      </c>
      <c r="Z111" s="45">
        <v>461</v>
      </c>
      <c r="AA111" s="45">
        <v>780</v>
      </c>
      <c r="AB111" s="45">
        <v>488</v>
      </c>
      <c r="AC111" s="45" t="e">
        <f>SUM(#REF!)</f>
        <v>#REF!</v>
      </c>
      <c r="AD111" s="45" t="e">
        <f>SUM(#REF!)</f>
        <v>#REF!</v>
      </c>
      <c r="AE111" s="45">
        <v>0</v>
      </c>
      <c r="AF111" s="45">
        <v>0</v>
      </c>
      <c r="AG111" s="45">
        <v>0</v>
      </c>
      <c r="AH111" s="45"/>
      <c r="AI111" s="45"/>
      <c r="AJ111" s="45"/>
      <c r="AK111" s="135"/>
      <c r="AL111" s="45"/>
      <c r="AM111" s="45"/>
      <c r="AN111" s="45"/>
      <c r="AO111" s="45"/>
      <c r="AP111" s="45"/>
      <c r="AQ111" s="45"/>
      <c r="AR111" s="45"/>
      <c r="AS111" s="45"/>
      <c r="AT111" s="45"/>
      <c r="AU111" s="45"/>
      <c r="AV111" s="45"/>
      <c r="AW111" s="165"/>
      <c r="AX111" s="100"/>
      <c r="AY111" s="100"/>
      <c r="AZ111" s="100"/>
      <c r="BA111" s="44"/>
      <c r="BB111" s="44"/>
      <c r="BC111" s="44"/>
      <c r="BD111" s="44"/>
      <c r="BE111" s="44"/>
      <c r="BF111" s="44"/>
      <c r="BG111" s="44"/>
      <c r="BH111" s="97"/>
      <c r="BI111" s="165"/>
      <c r="BJ111" s="100"/>
      <c r="BK111" s="100"/>
      <c r="BL111" s="100"/>
      <c r="BM111" s="100"/>
      <c r="BN111" s="100"/>
      <c r="BO111" s="100"/>
      <c r="BP111" s="100"/>
      <c r="BQ111" s="100"/>
      <c r="BR111" s="100"/>
      <c r="BS111" s="100"/>
      <c r="BT111" s="200"/>
      <c r="BU111" s="165">
        <v>0</v>
      </c>
      <c r="BV111" s="100">
        <v>0</v>
      </c>
      <c r="BW111" s="100">
        <v>0</v>
      </c>
      <c r="BX111" s="100">
        <v>0</v>
      </c>
      <c r="BY111" s="100">
        <v>0</v>
      </c>
      <c r="BZ111" s="100">
        <v>0</v>
      </c>
      <c r="CA111" s="100">
        <v>0</v>
      </c>
      <c r="CB111" s="100">
        <v>0</v>
      </c>
      <c r="CC111" s="100">
        <v>0</v>
      </c>
      <c r="CD111" s="100">
        <v>0</v>
      </c>
      <c r="CE111" s="100">
        <v>0</v>
      </c>
      <c r="CF111" s="97"/>
      <c r="CG111" s="165"/>
      <c r="CH111" s="100"/>
      <c r="CI111" s="100"/>
      <c r="CJ111" s="100"/>
      <c r="CK111" s="100"/>
      <c r="CL111" s="100"/>
      <c r="CM111" s="100"/>
      <c r="CN111" s="100"/>
      <c r="CO111" s="100"/>
      <c r="CP111" s="100"/>
      <c r="CQ111" s="100"/>
      <c r="CR111" s="200"/>
    </row>
    <row r="112" spans="1:96" x14ac:dyDescent="0.25">
      <c r="A112" s="49"/>
      <c r="B112" s="96" t="s">
        <v>38</v>
      </c>
      <c r="C112" s="135">
        <v>27</v>
      </c>
      <c r="D112" s="45">
        <v>34</v>
      </c>
      <c r="E112" s="45">
        <v>11</v>
      </c>
      <c r="F112" s="45">
        <v>28</v>
      </c>
      <c r="G112" s="45">
        <v>34</v>
      </c>
      <c r="H112" s="45">
        <v>30</v>
      </c>
      <c r="I112" s="45">
        <v>35</v>
      </c>
      <c r="J112" s="45">
        <v>20</v>
      </c>
      <c r="K112" s="45">
        <v>26</v>
      </c>
      <c r="L112" s="136">
        <v>32</v>
      </c>
      <c r="M112" s="135">
        <v>25</v>
      </c>
      <c r="N112" s="45">
        <v>26</v>
      </c>
      <c r="O112" s="45">
        <v>27</v>
      </c>
      <c r="P112" s="45">
        <v>21</v>
      </c>
      <c r="Q112" s="45">
        <v>18</v>
      </c>
      <c r="R112" s="45">
        <v>36</v>
      </c>
      <c r="S112" s="45">
        <v>32</v>
      </c>
      <c r="T112" s="45">
        <v>29</v>
      </c>
      <c r="U112" s="45">
        <v>28</v>
      </c>
      <c r="V112" s="45">
        <v>31</v>
      </c>
      <c r="W112" s="45">
        <v>20</v>
      </c>
      <c r="X112" s="136">
        <v>33</v>
      </c>
      <c r="Y112" s="45">
        <v>29</v>
      </c>
      <c r="Z112" s="45">
        <v>25</v>
      </c>
      <c r="AA112" s="45">
        <v>48</v>
      </c>
      <c r="AB112" s="45">
        <v>24</v>
      </c>
      <c r="AC112" s="45" t="e">
        <f>SUM(#REF!)</f>
        <v>#REF!</v>
      </c>
      <c r="AD112" s="45" t="e">
        <f>SUM(#REF!)</f>
        <v>#REF!</v>
      </c>
      <c r="AE112" s="45">
        <v>0</v>
      </c>
      <c r="AF112" s="45">
        <v>0</v>
      </c>
      <c r="AG112" s="45">
        <v>0</v>
      </c>
      <c r="AH112" s="45"/>
      <c r="AI112" s="45"/>
      <c r="AJ112" s="45"/>
      <c r="AK112" s="135"/>
      <c r="AL112" s="45"/>
      <c r="AM112" s="45"/>
      <c r="AN112" s="45"/>
      <c r="AO112" s="45"/>
      <c r="AP112" s="45"/>
      <c r="AQ112" s="45"/>
      <c r="AR112" s="45"/>
      <c r="AS112" s="45"/>
      <c r="AT112" s="45"/>
      <c r="AU112" s="45"/>
      <c r="AV112" s="45"/>
      <c r="AW112" s="165"/>
      <c r="AX112" s="100"/>
      <c r="AY112" s="100"/>
      <c r="AZ112" s="100"/>
      <c r="BA112" s="44"/>
      <c r="BB112" s="44"/>
      <c r="BC112" s="44"/>
      <c r="BD112" s="44"/>
      <c r="BE112" s="44"/>
      <c r="BF112" s="44"/>
      <c r="BG112" s="44"/>
      <c r="BH112" s="97"/>
      <c r="BI112" s="165"/>
      <c r="BJ112" s="100"/>
      <c r="BK112" s="100"/>
      <c r="BL112" s="100"/>
      <c r="BM112" s="100"/>
      <c r="BN112" s="100"/>
      <c r="BO112" s="100"/>
      <c r="BP112" s="100"/>
      <c r="BQ112" s="100"/>
      <c r="BR112" s="100"/>
      <c r="BS112" s="100"/>
      <c r="BT112" s="200"/>
      <c r="BU112" s="165">
        <v>0</v>
      </c>
      <c r="BV112" s="100">
        <v>0</v>
      </c>
      <c r="BW112" s="100">
        <v>0</v>
      </c>
      <c r="BX112" s="100">
        <v>0</v>
      </c>
      <c r="BY112" s="100">
        <v>0</v>
      </c>
      <c r="BZ112" s="100">
        <v>0</v>
      </c>
      <c r="CA112" s="100">
        <v>0</v>
      </c>
      <c r="CB112" s="100">
        <v>0</v>
      </c>
      <c r="CC112" s="100">
        <v>0</v>
      </c>
      <c r="CD112" s="100">
        <v>0</v>
      </c>
      <c r="CE112" s="100">
        <v>0</v>
      </c>
      <c r="CF112" s="97"/>
      <c r="CG112" s="165"/>
      <c r="CH112" s="100"/>
      <c r="CI112" s="100"/>
      <c r="CJ112" s="100"/>
      <c r="CK112" s="100"/>
      <c r="CL112" s="100"/>
      <c r="CM112" s="100"/>
      <c r="CN112" s="100"/>
      <c r="CO112" s="100"/>
      <c r="CP112" s="100"/>
      <c r="CQ112" s="100"/>
      <c r="CR112" s="200"/>
    </row>
    <row r="113" spans="1:96" ht="15.75" thickBot="1" x14ac:dyDescent="0.3">
      <c r="A113" s="49"/>
      <c r="B113" s="98" t="s">
        <v>39</v>
      </c>
      <c r="C113" s="153">
        <f>SUM(C108:C112)</f>
        <v>42353</v>
      </c>
      <c r="D113" s="113">
        <f>SUM(D108:D112)</f>
        <v>44547</v>
      </c>
      <c r="E113" s="113">
        <f t="shared" ref="E113:V113" si="418">SUM(E108:E112)</f>
        <v>44377</v>
      </c>
      <c r="F113" s="113">
        <f t="shared" si="418"/>
        <v>37017</v>
      </c>
      <c r="G113" s="113">
        <f t="shared" si="418"/>
        <v>38500</v>
      </c>
      <c r="H113" s="113">
        <f t="shared" si="418"/>
        <v>35554</v>
      </c>
      <c r="I113" s="113">
        <f t="shared" si="418"/>
        <v>35608</v>
      </c>
      <c r="J113" s="113">
        <f t="shared" si="418"/>
        <v>39386</v>
      </c>
      <c r="K113" s="113">
        <f t="shared" si="418"/>
        <v>32097</v>
      </c>
      <c r="L113" s="99">
        <f t="shared" si="418"/>
        <v>43183</v>
      </c>
      <c r="M113" s="153">
        <f t="shared" si="418"/>
        <v>43849</v>
      </c>
      <c r="N113" s="113">
        <f t="shared" si="418"/>
        <v>44561</v>
      </c>
      <c r="O113" s="113">
        <f t="shared" si="418"/>
        <v>50742</v>
      </c>
      <c r="P113" s="113">
        <f t="shared" si="418"/>
        <v>41449</v>
      </c>
      <c r="Q113" s="113">
        <f t="shared" si="418"/>
        <v>40468</v>
      </c>
      <c r="R113" s="113">
        <f t="shared" si="418"/>
        <v>51214</v>
      </c>
      <c r="S113" s="113">
        <f t="shared" si="418"/>
        <v>38664</v>
      </c>
      <c r="T113" s="113">
        <f t="shared" si="418"/>
        <v>36530</v>
      </c>
      <c r="U113" s="113">
        <f t="shared" si="418"/>
        <v>37412</v>
      </c>
      <c r="V113" s="113">
        <f t="shared" si="418"/>
        <v>37665</v>
      </c>
      <c r="W113" s="113">
        <f t="shared" ref="W113:AB113" si="419">SUM(W108:W112)</f>
        <v>32576</v>
      </c>
      <c r="X113" s="99">
        <f t="shared" si="419"/>
        <v>44758</v>
      </c>
      <c r="Y113" s="113">
        <f t="shared" si="419"/>
        <v>40172</v>
      </c>
      <c r="Z113" s="113">
        <f t="shared" si="419"/>
        <v>38536</v>
      </c>
      <c r="AA113" s="113">
        <f t="shared" si="419"/>
        <v>55425</v>
      </c>
      <c r="AB113" s="113">
        <f t="shared" si="419"/>
        <v>43879</v>
      </c>
      <c r="AC113" s="113" t="e">
        <f t="shared" ref="AC113:AI113" si="420">SUM(AC108:AC112)</f>
        <v>#REF!</v>
      </c>
      <c r="AD113" s="113" t="e">
        <f t="shared" si="420"/>
        <v>#REF!</v>
      </c>
      <c r="AE113" s="113">
        <f t="shared" si="420"/>
        <v>34709</v>
      </c>
      <c r="AF113" s="113">
        <f t="shared" si="420"/>
        <v>43611</v>
      </c>
      <c r="AG113" s="113">
        <f t="shared" si="420"/>
        <v>35467</v>
      </c>
      <c r="AH113" s="113">
        <f t="shared" si="420"/>
        <v>35471</v>
      </c>
      <c r="AI113" s="113">
        <f t="shared" si="420"/>
        <v>45890</v>
      </c>
      <c r="AJ113" s="113">
        <f>SUM(AJ108:AJ112)</f>
        <v>36512</v>
      </c>
      <c r="AK113" s="153">
        <f>SUM(AK108:AK112)</f>
        <v>38422</v>
      </c>
      <c r="AL113" s="113">
        <f>SUM(AL108:AL112)</f>
        <v>45460</v>
      </c>
      <c r="AM113" s="113">
        <v>51973</v>
      </c>
      <c r="AN113" s="113">
        <f>SUM(AN108:AN112)</f>
        <v>40205</v>
      </c>
      <c r="AO113" s="113">
        <v>45993</v>
      </c>
      <c r="AP113" s="113">
        <v>43332</v>
      </c>
      <c r="AQ113" s="113">
        <v>36878</v>
      </c>
      <c r="AR113" s="113">
        <v>42834</v>
      </c>
      <c r="AS113" s="113">
        <v>33950</v>
      </c>
      <c r="AT113" s="113">
        <v>37025</v>
      </c>
      <c r="AU113" s="113">
        <v>38307</v>
      </c>
      <c r="AV113" s="113">
        <v>37583</v>
      </c>
      <c r="AW113" s="172">
        <f>AW108</f>
        <v>46194</v>
      </c>
      <c r="AX113" s="114">
        <f>AX108</f>
        <v>45282</v>
      </c>
      <c r="AY113" s="114">
        <f t="shared" ref="AY113:BB113" si="421">AY108</f>
        <v>51285</v>
      </c>
      <c r="AZ113" s="114">
        <f t="shared" si="421"/>
        <v>41999</v>
      </c>
      <c r="BA113" s="114">
        <f t="shared" si="421"/>
        <v>51854</v>
      </c>
      <c r="BB113" s="114">
        <f t="shared" si="421"/>
        <v>40618</v>
      </c>
      <c r="BC113" s="102">
        <f>SUM(BC108:BC112)</f>
        <v>43087</v>
      </c>
      <c r="BD113" s="102">
        <f t="shared" ref="BD113:BH113" si="422">SUM(BD108:BD112)</f>
        <v>40397</v>
      </c>
      <c r="BE113" s="102">
        <f t="shared" si="422"/>
        <v>35500</v>
      </c>
      <c r="BF113" s="102">
        <f t="shared" si="422"/>
        <v>57258</v>
      </c>
      <c r="BG113" s="102">
        <f t="shared" si="422"/>
        <v>53375</v>
      </c>
      <c r="BH113" s="102">
        <f t="shared" si="422"/>
        <v>58454</v>
      </c>
      <c r="BI113" s="165">
        <f t="shared" ref="BI113" si="423">AW113-AK113</f>
        <v>7772</v>
      </c>
      <c r="BJ113" s="100">
        <f t="shared" ref="BJ113" si="424">AX113-AL113</f>
        <v>-178</v>
      </c>
      <c r="BK113" s="100">
        <f t="shared" ref="BK113" si="425">AY113-AM113</f>
        <v>-688</v>
      </c>
      <c r="BL113" s="100">
        <f t="shared" ref="BL113:BO113" si="426">AZ113-AN113</f>
        <v>1794</v>
      </c>
      <c r="BM113" s="100">
        <f t="shared" si="426"/>
        <v>5861</v>
      </c>
      <c r="BN113" s="100">
        <f t="shared" si="426"/>
        <v>-2714</v>
      </c>
      <c r="BO113" s="100">
        <f t="shared" si="426"/>
        <v>6209</v>
      </c>
      <c r="BP113" s="100">
        <f t="shared" ref="BP113" si="427">BD113-AR113</f>
        <v>-2437</v>
      </c>
      <c r="BQ113" s="100">
        <f t="shared" ref="BQ113" si="428">BE113-AS113</f>
        <v>1550</v>
      </c>
      <c r="BR113" s="100">
        <f t="shared" ref="BR113:BT113" si="429">BF113-AT113</f>
        <v>20233</v>
      </c>
      <c r="BS113" s="100">
        <f t="shared" si="429"/>
        <v>15068</v>
      </c>
      <c r="BT113" s="200">
        <f t="shared" si="429"/>
        <v>20871</v>
      </c>
      <c r="BU113" s="172">
        <f>BU108</f>
        <v>44692</v>
      </c>
      <c r="BV113" s="114">
        <f>BV108</f>
        <v>44624</v>
      </c>
      <c r="BW113" s="114">
        <f t="shared" ref="BW113:BY113" si="430">BW108</f>
        <v>48124</v>
      </c>
      <c r="BX113" s="114">
        <f t="shared" si="430"/>
        <v>50994</v>
      </c>
      <c r="BY113" s="114">
        <f t="shared" si="430"/>
        <v>48141</v>
      </c>
      <c r="BZ113" s="114">
        <v>39947</v>
      </c>
      <c r="CA113" s="102">
        <f>SUM(CA108:CA112)</f>
        <v>40939</v>
      </c>
      <c r="CB113" s="102">
        <f t="shared" ref="CB113:CF113" si="431">SUM(CB108:CB112)</f>
        <v>38642</v>
      </c>
      <c r="CC113" s="102">
        <f t="shared" si="431"/>
        <v>34878</v>
      </c>
      <c r="CD113" s="102">
        <f t="shared" si="431"/>
        <v>39694</v>
      </c>
      <c r="CE113" s="102">
        <f t="shared" si="431"/>
        <v>33329</v>
      </c>
      <c r="CF113" s="202">
        <f t="shared" si="431"/>
        <v>0</v>
      </c>
      <c r="CG113" s="165">
        <f t="shared" ref="CG113" si="432">BU113-BI113</f>
        <v>36920</v>
      </c>
      <c r="CH113" s="100">
        <f t="shared" ref="CH113" si="433">BV113-BJ113</f>
        <v>44802</v>
      </c>
      <c r="CI113" s="100">
        <f t="shared" ref="CI113" si="434">BW113-BK113</f>
        <v>48812</v>
      </c>
      <c r="CJ113" s="100">
        <f t="shared" ref="CJ113" si="435">BX113-BL113</f>
        <v>49200</v>
      </c>
      <c r="CK113" s="100">
        <f t="shared" ref="CK113" si="436">BY113-BM113</f>
        <v>42280</v>
      </c>
      <c r="CL113" s="100">
        <f t="shared" ref="CL113" si="437">BZ113-BN113</f>
        <v>42661</v>
      </c>
      <c r="CM113" s="100">
        <f t="shared" ref="CM113" si="438">CA113-BO113</f>
        <v>34730</v>
      </c>
      <c r="CN113" s="100">
        <f t="shared" ref="CN113" si="439">CB113-BP113</f>
        <v>41079</v>
      </c>
      <c r="CO113" s="100">
        <f t="shared" ref="CO113" si="440">CC113-BQ113</f>
        <v>33328</v>
      </c>
      <c r="CP113" s="100">
        <f t="shared" ref="CP113" si="441">CD113-BR113</f>
        <v>19461</v>
      </c>
      <c r="CQ113" s="100">
        <f t="shared" ref="CQ113" si="442">CE113-BS113</f>
        <v>18261</v>
      </c>
      <c r="CR113" s="200">
        <f t="shared" ref="CR113" si="443">CF113-BT113</f>
        <v>-20871</v>
      </c>
    </row>
    <row r="114" spans="1:96" x14ac:dyDescent="0.25">
      <c r="A114" s="49">
        <f>+A107+1</f>
        <v>16</v>
      </c>
      <c r="B114" s="93" t="s">
        <v>42</v>
      </c>
      <c r="C114" s="149"/>
      <c r="D114" s="116"/>
      <c r="E114" s="116"/>
      <c r="F114" s="116"/>
      <c r="G114" s="116"/>
      <c r="H114" s="116"/>
      <c r="I114" s="116"/>
      <c r="J114" s="116"/>
      <c r="K114" s="116"/>
      <c r="L114" s="117"/>
      <c r="M114" s="149"/>
      <c r="N114" s="116"/>
      <c r="O114" s="116"/>
      <c r="P114" s="116"/>
      <c r="Q114" s="116"/>
      <c r="R114" s="116"/>
      <c r="S114" s="116"/>
      <c r="T114" s="116"/>
      <c r="U114" s="116"/>
      <c r="V114" s="116"/>
      <c r="W114" s="116"/>
      <c r="X114" s="117"/>
      <c r="Y114" s="116"/>
      <c r="Z114" s="116"/>
      <c r="AA114" s="116"/>
      <c r="AB114" s="116"/>
      <c r="AC114" s="116"/>
      <c r="AD114" s="116"/>
      <c r="AE114" s="116"/>
      <c r="AF114" s="116"/>
      <c r="AG114" s="116"/>
      <c r="AH114" s="116"/>
      <c r="AI114" s="116"/>
      <c r="AJ114" s="116"/>
      <c r="AK114" s="149"/>
      <c r="AL114" s="116"/>
      <c r="AM114" s="116"/>
      <c r="AN114" s="116"/>
      <c r="AO114" s="116"/>
      <c r="AP114" s="116"/>
      <c r="AQ114" s="116"/>
      <c r="AR114" s="116"/>
      <c r="AS114" s="116"/>
      <c r="AT114" s="116"/>
      <c r="AU114" s="116"/>
      <c r="AV114" s="116"/>
      <c r="AW114" s="164"/>
      <c r="AX114" s="94"/>
      <c r="AY114" s="94"/>
      <c r="AZ114" s="94"/>
      <c r="BA114" s="94"/>
      <c r="BB114" s="94"/>
      <c r="BC114" s="94"/>
      <c r="BD114" s="94"/>
      <c r="BE114" s="94"/>
      <c r="BF114" s="94"/>
      <c r="BG114" s="94"/>
      <c r="BH114" s="95"/>
      <c r="BI114" s="164"/>
      <c r="BJ114" s="94"/>
      <c r="BK114" s="94"/>
      <c r="BL114" s="94"/>
      <c r="BM114" s="94"/>
      <c r="BN114" s="94"/>
      <c r="BO114" s="94"/>
      <c r="BP114" s="94"/>
      <c r="BQ114" s="94"/>
      <c r="BR114" s="94"/>
      <c r="BS114" s="94"/>
      <c r="BT114" s="95"/>
      <c r="BU114" s="164"/>
      <c r="BV114" s="94"/>
      <c r="BW114" s="94"/>
      <c r="BX114" s="94"/>
      <c r="BY114" s="94"/>
      <c r="BZ114" s="94"/>
      <c r="CA114" s="94"/>
      <c r="CB114" s="94"/>
      <c r="CC114" s="94"/>
      <c r="CD114" s="94"/>
      <c r="CE114" s="94"/>
      <c r="CF114" s="95"/>
      <c r="CG114" s="164"/>
      <c r="CH114" s="94"/>
      <c r="CI114" s="94"/>
      <c r="CJ114" s="94"/>
      <c r="CK114" s="94"/>
      <c r="CL114" s="94"/>
      <c r="CM114" s="94"/>
      <c r="CN114" s="94"/>
      <c r="CO114" s="94"/>
      <c r="CP114" s="94"/>
      <c r="CQ114" s="94"/>
      <c r="CR114" s="95"/>
    </row>
    <row r="115" spans="1:96" x14ac:dyDescent="0.25">
      <c r="A115" s="49"/>
      <c r="B115" s="96" t="s">
        <v>34</v>
      </c>
      <c r="C115" s="138">
        <f>C94-C101</f>
        <v>1095955.7199999997</v>
      </c>
      <c r="D115" s="28">
        <f>D94-D101</f>
        <v>-583025.21</v>
      </c>
      <c r="E115" s="28">
        <f t="shared" ref="E115:V115" si="444">E94-E101</f>
        <v>-1273980.9700000002</v>
      </c>
      <c r="F115" s="28">
        <f t="shared" si="444"/>
        <v>-754083.29</v>
      </c>
      <c r="G115" s="28">
        <f t="shared" si="444"/>
        <v>-678775.79</v>
      </c>
      <c r="H115" s="28">
        <f t="shared" si="444"/>
        <v>-308283.56000000006</v>
      </c>
      <c r="I115" s="28">
        <f t="shared" si="444"/>
        <v>-186856.56000000006</v>
      </c>
      <c r="J115" s="28">
        <f t="shared" si="444"/>
        <v>-177026.30000000005</v>
      </c>
      <c r="K115" s="28">
        <f t="shared" si="444"/>
        <v>1461687.17</v>
      </c>
      <c r="L115" s="72">
        <f t="shared" si="444"/>
        <v>2530458.0699999998</v>
      </c>
      <c r="M115" s="138">
        <f t="shared" si="444"/>
        <v>2773012.87</v>
      </c>
      <c r="N115" s="28">
        <f>N94-N101</f>
        <v>767793.09999999963</v>
      </c>
      <c r="O115" s="28">
        <f t="shared" si="444"/>
        <v>-64992.240000000224</v>
      </c>
      <c r="P115" s="28">
        <f t="shared" si="444"/>
        <v>-5602.1299999998882</v>
      </c>
      <c r="Q115" s="28">
        <f t="shared" si="444"/>
        <v>-98451.459999999963</v>
      </c>
      <c r="R115" s="28">
        <f t="shared" si="444"/>
        <v>-2175016.9900000002</v>
      </c>
      <c r="S115" s="28">
        <f t="shared" si="444"/>
        <v>-678991.34000000008</v>
      </c>
      <c r="T115" s="28">
        <f t="shared" si="444"/>
        <v>-293801.89999999991</v>
      </c>
      <c r="U115" s="28">
        <f t="shared" si="444"/>
        <v>-212622.34999999986</v>
      </c>
      <c r="V115" s="28">
        <f t="shared" si="444"/>
        <v>-104017.12000000011</v>
      </c>
      <c r="W115" s="28">
        <f t="shared" ref="W115:AC119" si="445">W94-W101</f>
        <v>1021609.78</v>
      </c>
      <c r="X115" s="72">
        <f t="shared" si="445"/>
        <v>2046329.6</v>
      </c>
      <c r="Y115" s="28">
        <f t="shared" si="445"/>
        <v>3370052.33</v>
      </c>
      <c r="Z115" s="28">
        <f t="shared" si="445"/>
        <v>2309745.63</v>
      </c>
      <c r="AA115" s="28">
        <f t="shared" si="445"/>
        <v>-734639.65000000037</v>
      </c>
      <c r="AB115" s="28">
        <f t="shared" si="445"/>
        <v>-184691.5</v>
      </c>
      <c r="AC115" s="28" t="e">
        <f t="shared" si="445"/>
        <v>#REF!</v>
      </c>
      <c r="AD115" s="28">
        <f t="shared" ref="AD115:AI119" si="446">AD94-AD101</f>
        <v>-4011621.1100000003</v>
      </c>
      <c r="AE115" s="28">
        <f t="shared" si="446"/>
        <v>-2091890.44</v>
      </c>
      <c r="AF115" s="28">
        <f t="shared" si="446"/>
        <v>-2155325.0099999998</v>
      </c>
      <c r="AG115" s="28">
        <f t="shared" si="446"/>
        <v>-1200665.1000000001</v>
      </c>
      <c r="AH115" s="28">
        <f t="shared" si="446"/>
        <v>-1096308.5499999998</v>
      </c>
      <c r="AI115" s="28">
        <f t="shared" si="446"/>
        <v>-2741657.08</v>
      </c>
      <c r="AJ115" s="28">
        <f t="shared" ref="AJ115:AO115" si="447">AJ94-AJ101</f>
        <v>1374531.9400000004</v>
      </c>
      <c r="AK115" s="138">
        <f t="shared" si="447"/>
        <v>202614.16000000015</v>
      </c>
      <c r="AL115" s="28">
        <f t="shared" si="447"/>
        <v>1708236.1600000001</v>
      </c>
      <c r="AM115" s="28">
        <f t="shared" si="447"/>
        <v>-9149307.8399999999</v>
      </c>
      <c r="AN115" s="28">
        <f t="shared" si="447"/>
        <v>-4104578.1899999995</v>
      </c>
      <c r="AO115" s="28">
        <f t="shared" si="447"/>
        <v>-6893285.4199999999</v>
      </c>
      <c r="AP115" s="28">
        <f t="shared" ref="AP115:AU115" si="448">SUM(AP99-AP101)</f>
        <v>-2881087.1500000004</v>
      </c>
      <c r="AQ115" s="28">
        <f t="shared" si="448"/>
        <v>-1826120.83</v>
      </c>
      <c r="AR115" s="28">
        <f t="shared" si="448"/>
        <v>-1492397.1900000004</v>
      </c>
      <c r="AS115" s="28">
        <f t="shared" si="448"/>
        <v>-75303.560000000056</v>
      </c>
      <c r="AT115" s="28">
        <f t="shared" si="448"/>
        <v>-37665.660000000149</v>
      </c>
      <c r="AU115" s="28">
        <f t="shared" si="448"/>
        <v>931586.16000000015</v>
      </c>
      <c r="AV115" s="28">
        <f t="shared" ref="AV115:AY115" si="449">SUM(AV99-AV101)</f>
        <v>5579293.6399999997</v>
      </c>
      <c r="AW115" s="138">
        <f t="shared" si="449"/>
        <v>4771833.7799999993</v>
      </c>
      <c r="AX115" s="28">
        <f t="shared" si="449"/>
        <v>3132678.8499999996</v>
      </c>
      <c r="AY115" s="28">
        <f t="shared" si="449"/>
        <v>-276311.30000000075</v>
      </c>
      <c r="AZ115" s="28">
        <f t="shared" ref="AZ115:BE115" si="450">SUM(AZ99-AZ101)</f>
        <v>-230851.81000000052</v>
      </c>
      <c r="BA115" s="28">
        <f t="shared" si="450"/>
        <v>-5955940.0399999991</v>
      </c>
      <c r="BB115" s="28">
        <f t="shared" si="450"/>
        <v>-3025128.8499999996</v>
      </c>
      <c r="BC115" s="28">
        <f t="shared" si="450"/>
        <v>-4226455</v>
      </c>
      <c r="BD115" s="28">
        <f t="shared" si="450"/>
        <v>-1778826.2599999998</v>
      </c>
      <c r="BE115" s="28">
        <f t="shared" si="450"/>
        <v>-503314.54000000004</v>
      </c>
      <c r="BF115" s="28">
        <f t="shared" ref="BF115:BG115" si="451">SUM(BF99-BF101)</f>
        <v>-625181.60000000009</v>
      </c>
      <c r="BG115" s="28">
        <f t="shared" si="451"/>
        <v>1559465.5099999998</v>
      </c>
      <c r="BH115" s="28">
        <v>4119427.76</v>
      </c>
      <c r="BI115" s="168">
        <f t="shared" ref="BI115:BI120" si="452">AW115-AK115</f>
        <v>4569219.6199999992</v>
      </c>
      <c r="BJ115" s="104">
        <f t="shared" ref="BJ115:BJ120" si="453">AX115-AL115</f>
        <v>1424442.6899999995</v>
      </c>
      <c r="BK115" s="104">
        <f t="shared" ref="BK115:BK120" si="454">AY115-AM115</f>
        <v>8872996.5399999991</v>
      </c>
      <c r="BL115" s="104">
        <f t="shared" ref="BL115:BO120" si="455">AZ115-AN115</f>
        <v>3873726.379999999</v>
      </c>
      <c r="BM115" s="104">
        <f t="shared" si="455"/>
        <v>937345.38000000082</v>
      </c>
      <c r="BN115" s="104">
        <f t="shared" si="455"/>
        <v>-144041.69999999925</v>
      </c>
      <c r="BO115" s="104">
        <f t="shared" si="455"/>
        <v>-2400334.17</v>
      </c>
      <c r="BP115" s="104">
        <f t="shared" ref="BP115:BP120" si="456">BD115-AR115</f>
        <v>-286429.06999999937</v>
      </c>
      <c r="BQ115" s="104">
        <f t="shared" ref="BQ115:BQ120" si="457">BE115-AS115</f>
        <v>-428010.98</v>
      </c>
      <c r="BR115" s="104">
        <f t="shared" ref="BR115:BT120" si="458">BF115-AT115</f>
        <v>-587515.93999999994</v>
      </c>
      <c r="BS115" s="104">
        <f t="shared" si="458"/>
        <v>627879.34999999963</v>
      </c>
      <c r="BT115" s="106">
        <f t="shared" si="458"/>
        <v>-1459865.88</v>
      </c>
      <c r="BU115" s="168"/>
      <c r="BV115" s="28"/>
      <c r="BW115" s="28"/>
      <c r="BX115" s="28"/>
      <c r="BY115" s="28"/>
      <c r="BZ115" s="28"/>
      <c r="CA115" s="28"/>
      <c r="CB115" s="28"/>
      <c r="CC115" s="28"/>
      <c r="CD115" s="28"/>
      <c r="CE115" s="28"/>
      <c r="CF115" s="72"/>
      <c r="CG115" s="168">
        <f t="shared" ref="CG115:CG120" si="459">BU115-BI115</f>
        <v>-4569219.6199999992</v>
      </c>
      <c r="CH115" s="104">
        <f t="shared" ref="CH115:CH120" si="460">BV115-BJ115</f>
        <v>-1424442.6899999995</v>
      </c>
      <c r="CI115" s="104">
        <f t="shared" ref="CI115:CI120" si="461">BW115-BK115</f>
        <v>-8872996.5399999991</v>
      </c>
      <c r="CJ115" s="104">
        <f t="shared" ref="CJ115:CJ120" si="462">BX115-BL115</f>
        <v>-3873726.379999999</v>
      </c>
      <c r="CK115" s="104">
        <f t="shared" ref="CK115:CK120" si="463">BY115-BM115</f>
        <v>-937345.38000000082</v>
      </c>
      <c r="CL115" s="104">
        <f t="shared" ref="CL115:CL120" si="464">BZ115-BN115</f>
        <v>144041.69999999925</v>
      </c>
      <c r="CM115" s="104">
        <f t="shared" ref="CM115:CM120" si="465">CA115-BO115</f>
        <v>2400334.17</v>
      </c>
      <c r="CN115" s="104">
        <f t="shared" ref="CN115:CN120" si="466">CB115-BP115</f>
        <v>286429.06999999937</v>
      </c>
      <c r="CO115" s="104">
        <f t="shared" ref="CO115:CO120" si="467">CC115-BQ115</f>
        <v>428010.98</v>
      </c>
      <c r="CP115" s="104">
        <f t="shared" ref="CP115:CP120" si="468">CD115-BR115</f>
        <v>587515.93999999994</v>
      </c>
      <c r="CQ115" s="104">
        <f t="shared" ref="CQ115:CQ120" si="469">CE115-BS115</f>
        <v>-627879.34999999963</v>
      </c>
      <c r="CR115" s="106">
        <f t="shared" ref="CR115:CR120" si="470">CF115-BT115</f>
        <v>1459865.88</v>
      </c>
    </row>
    <row r="116" spans="1:96" x14ac:dyDescent="0.25">
      <c r="A116" s="49"/>
      <c r="B116" s="118" t="s">
        <v>35</v>
      </c>
      <c r="C116" s="138">
        <f t="shared" ref="C116:D119" si="471">C95-C102</f>
        <v>180782.34000000008</v>
      </c>
      <c r="D116" s="28">
        <f t="shared" si="471"/>
        <v>-247261.17999999993</v>
      </c>
      <c r="E116" s="28">
        <f t="shared" ref="E116:V116" si="472">E95-E102</f>
        <v>-604845.89999999991</v>
      </c>
      <c r="F116" s="28">
        <f t="shared" si="472"/>
        <v>-46128.419999999984</v>
      </c>
      <c r="G116" s="28">
        <f t="shared" si="472"/>
        <v>-44653.66</v>
      </c>
      <c r="H116" s="28">
        <f t="shared" si="472"/>
        <v>-20446.579999999987</v>
      </c>
      <c r="I116" s="28">
        <f t="shared" si="472"/>
        <v>13193.200000000012</v>
      </c>
      <c r="J116" s="28">
        <f t="shared" si="472"/>
        <v>36293.649999999994</v>
      </c>
      <c r="K116" s="28">
        <f t="shared" si="472"/>
        <v>294874.34999999998</v>
      </c>
      <c r="L116" s="72">
        <f t="shared" si="472"/>
        <v>577135.22</v>
      </c>
      <c r="M116" s="138">
        <f t="shared" si="472"/>
        <v>58989.330000000075</v>
      </c>
      <c r="N116" s="28">
        <f t="shared" si="472"/>
        <v>39711.429999999935</v>
      </c>
      <c r="O116" s="28">
        <f t="shared" si="472"/>
        <v>-90617.340000000084</v>
      </c>
      <c r="P116" s="28">
        <f t="shared" si="472"/>
        <v>376579.66000000003</v>
      </c>
      <c r="Q116" s="28">
        <f t="shared" si="472"/>
        <v>-100223.19999999995</v>
      </c>
      <c r="R116" s="28">
        <f t="shared" si="472"/>
        <v>-273055.37</v>
      </c>
      <c r="S116" s="28">
        <f t="shared" si="472"/>
        <v>-131951.63</v>
      </c>
      <c r="T116" s="28">
        <f t="shared" si="472"/>
        <v>33110.640000000014</v>
      </c>
      <c r="U116" s="28">
        <f t="shared" si="472"/>
        <v>51725.449999999983</v>
      </c>
      <c r="V116" s="28">
        <f t="shared" si="472"/>
        <v>104036.15</v>
      </c>
      <c r="W116" s="28">
        <f t="shared" si="445"/>
        <v>373824.9</v>
      </c>
      <c r="X116" s="72">
        <f t="shared" si="445"/>
        <v>624483.18999999994</v>
      </c>
      <c r="Y116" s="28">
        <f t="shared" si="445"/>
        <v>846437.88</v>
      </c>
      <c r="Z116" s="28">
        <f t="shared" si="445"/>
        <v>558372.38</v>
      </c>
      <c r="AA116" s="28">
        <f t="shared" si="445"/>
        <v>-281689.99</v>
      </c>
      <c r="AB116" s="28">
        <f t="shared" ref="AB116:AC119" si="473">AB95-AB102</f>
        <v>-820226.74</v>
      </c>
      <c r="AC116" s="28" t="e">
        <f t="shared" si="473"/>
        <v>#REF!</v>
      </c>
      <c r="AD116" s="28" t="e">
        <f t="shared" si="446"/>
        <v>#REF!</v>
      </c>
      <c r="AE116" s="28">
        <f t="shared" si="446"/>
        <v>169120</v>
      </c>
      <c r="AF116" s="28">
        <f t="shared" si="446"/>
        <v>239074</v>
      </c>
      <c r="AG116" s="28">
        <f t="shared" si="446"/>
        <v>212229</v>
      </c>
      <c r="AH116" s="28">
        <f t="shared" ref="AH116:AY116" si="474">AH95-AH102</f>
        <v>229178</v>
      </c>
      <c r="AI116" s="28">
        <f t="shared" si="474"/>
        <v>607293</v>
      </c>
      <c r="AJ116" s="28">
        <f t="shared" si="474"/>
        <v>1351125</v>
      </c>
      <c r="AK116" s="138">
        <f t="shared" si="474"/>
        <v>1872527</v>
      </c>
      <c r="AL116" s="28">
        <f t="shared" si="474"/>
        <v>2106974</v>
      </c>
      <c r="AM116" s="28">
        <f t="shared" si="474"/>
        <v>1689470</v>
      </c>
      <c r="AN116" s="28">
        <f t="shared" si="474"/>
        <v>1634486</v>
      </c>
      <c r="AO116" s="28">
        <f t="shared" si="474"/>
        <v>777633</v>
      </c>
      <c r="AP116" s="28">
        <f t="shared" si="474"/>
        <v>392983</v>
      </c>
      <c r="AQ116" s="28">
        <f t="shared" si="474"/>
        <v>401498</v>
      </c>
      <c r="AR116" s="28">
        <f t="shared" si="474"/>
        <v>297145</v>
      </c>
      <c r="AS116" s="28">
        <f t="shared" si="474"/>
        <v>364747</v>
      </c>
      <c r="AT116" s="28">
        <f t="shared" si="474"/>
        <v>426278</v>
      </c>
      <c r="AU116" s="28">
        <f t="shared" si="474"/>
        <v>678312</v>
      </c>
      <c r="AV116" s="28">
        <f t="shared" si="474"/>
        <v>1515487</v>
      </c>
      <c r="AW116" s="138">
        <f t="shared" si="474"/>
        <v>2240055</v>
      </c>
      <c r="AX116" s="28">
        <f t="shared" si="474"/>
        <v>2062354</v>
      </c>
      <c r="AY116" s="28">
        <f t="shared" si="474"/>
        <v>1891635</v>
      </c>
      <c r="AZ116" s="28">
        <f t="shared" ref="AZ116:BE116" si="475">AZ95-AZ102</f>
        <v>1511408</v>
      </c>
      <c r="BA116" s="28">
        <f t="shared" si="475"/>
        <v>670096</v>
      </c>
      <c r="BB116" s="28">
        <f t="shared" si="475"/>
        <v>337669</v>
      </c>
      <c r="BC116" s="28">
        <f t="shared" si="475"/>
        <v>279616</v>
      </c>
      <c r="BD116" s="28">
        <f t="shared" si="475"/>
        <v>228286</v>
      </c>
      <c r="BE116" s="28">
        <f t="shared" si="475"/>
        <v>278581</v>
      </c>
      <c r="BF116" s="28">
        <f t="shared" ref="BF116:BG116" si="476">BF95-BF102</f>
        <v>300654</v>
      </c>
      <c r="BG116" s="28">
        <f t="shared" si="476"/>
        <v>693154</v>
      </c>
      <c r="BH116" s="28">
        <v>1218089</v>
      </c>
      <c r="BI116" s="168">
        <f t="shared" si="452"/>
        <v>367528</v>
      </c>
      <c r="BJ116" s="104">
        <f t="shared" si="453"/>
        <v>-44620</v>
      </c>
      <c r="BK116" s="104">
        <f t="shared" si="454"/>
        <v>202165</v>
      </c>
      <c r="BL116" s="104">
        <f t="shared" si="455"/>
        <v>-123078</v>
      </c>
      <c r="BM116" s="104">
        <f t="shared" si="455"/>
        <v>-107537</v>
      </c>
      <c r="BN116" s="104">
        <f t="shared" si="455"/>
        <v>-55314</v>
      </c>
      <c r="BO116" s="104">
        <f t="shared" si="455"/>
        <v>-121882</v>
      </c>
      <c r="BP116" s="104">
        <f t="shared" si="456"/>
        <v>-68859</v>
      </c>
      <c r="BQ116" s="104">
        <f t="shared" si="457"/>
        <v>-86166</v>
      </c>
      <c r="BR116" s="104">
        <f t="shared" si="458"/>
        <v>-125624</v>
      </c>
      <c r="BS116" s="104">
        <f t="shared" si="458"/>
        <v>14842</v>
      </c>
      <c r="BT116" s="106">
        <f t="shared" si="458"/>
        <v>-297398</v>
      </c>
      <c r="BU116" s="168"/>
      <c r="BV116" s="28"/>
      <c r="BW116" s="28"/>
      <c r="BX116" s="28"/>
      <c r="BY116" s="28"/>
      <c r="BZ116" s="28"/>
      <c r="CA116" s="28"/>
      <c r="CB116" s="28"/>
      <c r="CC116" s="28"/>
      <c r="CD116" s="28"/>
      <c r="CE116" s="28"/>
      <c r="CF116" s="72"/>
      <c r="CG116" s="168">
        <f t="shared" si="459"/>
        <v>-367528</v>
      </c>
      <c r="CH116" s="104">
        <f t="shared" si="460"/>
        <v>44620</v>
      </c>
      <c r="CI116" s="104">
        <f t="shared" si="461"/>
        <v>-202165</v>
      </c>
      <c r="CJ116" s="104">
        <f t="shared" si="462"/>
        <v>123078</v>
      </c>
      <c r="CK116" s="104">
        <f t="shared" si="463"/>
        <v>107537</v>
      </c>
      <c r="CL116" s="104">
        <f t="shared" si="464"/>
        <v>55314</v>
      </c>
      <c r="CM116" s="104">
        <f t="shared" si="465"/>
        <v>121882</v>
      </c>
      <c r="CN116" s="104">
        <f t="shared" si="466"/>
        <v>68859</v>
      </c>
      <c r="CO116" s="104">
        <f t="shared" si="467"/>
        <v>86166</v>
      </c>
      <c r="CP116" s="104">
        <f t="shared" si="468"/>
        <v>125624</v>
      </c>
      <c r="CQ116" s="104">
        <f t="shared" si="469"/>
        <v>-14842</v>
      </c>
      <c r="CR116" s="106">
        <f t="shared" si="470"/>
        <v>297398</v>
      </c>
    </row>
    <row r="117" spans="1:96" x14ac:dyDescent="0.25">
      <c r="A117" s="49"/>
      <c r="B117" s="96" t="s">
        <v>36</v>
      </c>
      <c r="C117" s="138">
        <f t="shared" si="471"/>
        <v>36741.139999999898</v>
      </c>
      <c r="D117" s="28">
        <f t="shared" si="471"/>
        <v>-329815.71999999997</v>
      </c>
      <c r="E117" s="28">
        <f t="shared" ref="E117:V117" si="477">E96-E103</f>
        <v>-272123.66000000003</v>
      </c>
      <c r="F117" s="28">
        <f t="shared" si="477"/>
        <v>-126996.37</v>
      </c>
      <c r="G117" s="28">
        <f t="shared" si="477"/>
        <v>-65639.06</v>
      </c>
      <c r="H117" s="28">
        <f t="shared" si="477"/>
        <v>-20065.059999999998</v>
      </c>
      <c r="I117" s="28">
        <f t="shared" si="477"/>
        <v>3621.7699999999895</v>
      </c>
      <c r="J117" s="28">
        <f t="shared" si="477"/>
        <v>-3837.5899999999965</v>
      </c>
      <c r="K117" s="28">
        <f t="shared" si="477"/>
        <v>221984.58</v>
      </c>
      <c r="L117" s="72">
        <f t="shared" si="477"/>
        <v>419358.02</v>
      </c>
      <c r="M117" s="138">
        <f t="shared" si="477"/>
        <v>545557.32999999996</v>
      </c>
      <c r="N117" s="28">
        <f t="shared" si="477"/>
        <v>-36967.419999999925</v>
      </c>
      <c r="O117" s="28">
        <f t="shared" si="477"/>
        <v>-237559.06000000006</v>
      </c>
      <c r="P117" s="28">
        <f t="shared" si="477"/>
        <v>-103259.83999999997</v>
      </c>
      <c r="Q117" s="28">
        <f t="shared" si="477"/>
        <v>-126114.76000000001</v>
      </c>
      <c r="R117" s="28">
        <f t="shared" si="477"/>
        <v>-466460.56999999995</v>
      </c>
      <c r="S117" s="28">
        <f>S96-S103</f>
        <v>-98781.25</v>
      </c>
      <c r="T117" s="28">
        <f t="shared" si="477"/>
        <v>-48814.850000000006</v>
      </c>
      <c r="U117" s="28">
        <f t="shared" si="477"/>
        <v>-86039.18</v>
      </c>
      <c r="V117" s="28">
        <f t="shared" si="477"/>
        <v>6367.4100000000035</v>
      </c>
      <c r="W117" s="28">
        <f t="shared" si="445"/>
        <v>185753.67</v>
      </c>
      <c r="X117" s="72">
        <f t="shared" si="445"/>
        <v>363580.6</v>
      </c>
      <c r="Y117" s="28">
        <f t="shared" si="445"/>
        <v>586182.5</v>
      </c>
      <c r="Z117" s="28">
        <f t="shared" si="445"/>
        <v>249432.33000000007</v>
      </c>
      <c r="AA117" s="28">
        <f t="shared" si="445"/>
        <v>-516175.3600000001</v>
      </c>
      <c r="AB117" s="28">
        <f t="shared" si="473"/>
        <v>-347373.53</v>
      </c>
      <c r="AC117" s="28" t="e">
        <f t="shared" si="473"/>
        <v>#REF!</v>
      </c>
      <c r="AD117" s="28" t="e">
        <f t="shared" si="446"/>
        <v>#REF!</v>
      </c>
      <c r="AE117" s="28">
        <f t="shared" si="446"/>
        <v>185051</v>
      </c>
      <c r="AF117" s="28">
        <f t="shared" si="446"/>
        <v>193515</v>
      </c>
      <c r="AG117" s="28">
        <f t="shared" si="446"/>
        <v>200269</v>
      </c>
      <c r="AH117" s="28">
        <f t="shared" si="446"/>
        <v>202701</v>
      </c>
      <c r="AI117" s="28">
        <f t="shared" si="446"/>
        <v>438898</v>
      </c>
      <c r="AJ117" s="28">
        <f t="shared" ref="AJ117:AY117" si="478">AJ96-AJ103</f>
        <v>1175731</v>
      </c>
      <c r="AK117" s="138">
        <f t="shared" si="478"/>
        <v>1822448</v>
      </c>
      <c r="AL117" s="28">
        <f t="shared" si="478"/>
        <v>2197462</v>
      </c>
      <c r="AM117" s="28">
        <f t="shared" si="478"/>
        <v>1765951</v>
      </c>
      <c r="AN117" s="28">
        <f t="shared" si="478"/>
        <v>1387730</v>
      </c>
      <c r="AO117" s="28">
        <f t="shared" si="478"/>
        <v>635047</v>
      </c>
      <c r="AP117" s="28">
        <f t="shared" si="478"/>
        <v>381494</v>
      </c>
      <c r="AQ117" s="28">
        <f t="shared" si="478"/>
        <v>334173</v>
      </c>
      <c r="AR117" s="28">
        <f t="shared" si="478"/>
        <v>204456</v>
      </c>
      <c r="AS117" s="28">
        <f t="shared" si="478"/>
        <v>284598</v>
      </c>
      <c r="AT117" s="28">
        <f t="shared" si="478"/>
        <v>372657</v>
      </c>
      <c r="AU117" s="28">
        <f t="shared" si="478"/>
        <v>514864</v>
      </c>
      <c r="AV117" s="28">
        <f t="shared" si="478"/>
        <v>1262956</v>
      </c>
      <c r="AW117" s="138">
        <f t="shared" si="478"/>
        <v>1900472</v>
      </c>
      <c r="AX117" s="28">
        <f t="shared" si="478"/>
        <v>1911729</v>
      </c>
      <c r="AY117" s="28">
        <f t="shared" si="478"/>
        <v>1675006</v>
      </c>
      <c r="AZ117" s="28">
        <f t="shared" ref="AZ117:BE117" si="479">AZ96-AZ103</f>
        <v>1278341</v>
      </c>
      <c r="BA117" s="28">
        <f t="shared" si="479"/>
        <v>512298</v>
      </c>
      <c r="BB117" s="28">
        <f t="shared" si="479"/>
        <v>260544</v>
      </c>
      <c r="BC117" s="28">
        <f t="shared" si="479"/>
        <v>217223</v>
      </c>
      <c r="BD117" s="28">
        <f t="shared" si="479"/>
        <v>178121</v>
      </c>
      <c r="BE117" s="28">
        <f t="shared" si="479"/>
        <v>189813</v>
      </c>
      <c r="BF117" s="28">
        <f t="shared" ref="BF117:BG117" si="480">BF96-BF103</f>
        <v>198021</v>
      </c>
      <c r="BG117" s="28">
        <f t="shared" si="480"/>
        <v>453943</v>
      </c>
      <c r="BH117" s="28">
        <v>1013476</v>
      </c>
      <c r="BI117" s="168">
        <f t="shared" si="452"/>
        <v>78024</v>
      </c>
      <c r="BJ117" s="104">
        <f t="shared" si="453"/>
        <v>-285733</v>
      </c>
      <c r="BK117" s="104">
        <f t="shared" si="454"/>
        <v>-90945</v>
      </c>
      <c r="BL117" s="104">
        <f t="shared" si="455"/>
        <v>-109389</v>
      </c>
      <c r="BM117" s="104">
        <f t="shared" si="455"/>
        <v>-122749</v>
      </c>
      <c r="BN117" s="104">
        <f t="shared" si="455"/>
        <v>-120950</v>
      </c>
      <c r="BO117" s="104">
        <f t="shared" si="455"/>
        <v>-116950</v>
      </c>
      <c r="BP117" s="104">
        <f t="shared" si="456"/>
        <v>-26335</v>
      </c>
      <c r="BQ117" s="104">
        <f t="shared" si="457"/>
        <v>-94785</v>
      </c>
      <c r="BR117" s="104">
        <f t="shared" si="458"/>
        <v>-174636</v>
      </c>
      <c r="BS117" s="104">
        <f t="shared" si="458"/>
        <v>-60921</v>
      </c>
      <c r="BT117" s="106">
        <f t="shared" si="458"/>
        <v>-249480</v>
      </c>
      <c r="BU117" s="168"/>
      <c r="BV117" s="28"/>
      <c r="BW117" s="28"/>
      <c r="BX117" s="28"/>
      <c r="BY117" s="28"/>
      <c r="BZ117" s="28"/>
      <c r="CA117" s="28"/>
      <c r="CB117" s="28"/>
      <c r="CC117" s="28"/>
      <c r="CD117" s="28"/>
      <c r="CE117" s="28"/>
      <c r="CF117" s="72"/>
      <c r="CG117" s="168">
        <f t="shared" si="459"/>
        <v>-78024</v>
      </c>
      <c r="CH117" s="104">
        <f t="shared" si="460"/>
        <v>285733</v>
      </c>
      <c r="CI117" s="104">
        <f t="shared" si="461"/>
        <v>90945</v>
      </c>
      <c r="CJ117" s="104">
        <f t="shared" si="462"/>
        <v>109389</v>
      </c>
      <c r="CK117" s="104">
        <f t="shared" si="463"/>
        <v>122749</v>
      </c>
      <c r="CL117" s="104">
        <f t="shared" si="464"/>
        <v>120950</v>
      </c>
      <c r="CM117" s="104">
        <f t="shared" si="465"/>
        <v>116950</v>
      </c>
      <c r="CN117" s="104">
        <f t="shared" si="466"/>
        <v>26335</v>
      </c>
      <c r="CO117" s="104">
        <f t="shared" si="467"/>
        <v>94785</v>
      </c>
      <c r="CP117" s="104">
        <f t="shared" si="468"/>
        <v>174636</v>
      </c>
      <c r="CQ117" s="104">
        <f t="shared" si="469"/>
        <v>60921</v>
      </c>
      <c r="CR117" s="106">
        <f t="shared" si="470"/>
        <v>249480</v>
      </c>
    </row>
    <row r="118" spans="1:96" x14ac:dyDescent="0.25">
      <c r="A118" s="49"/>
      <c r="B118" s="96" t="s">
        <v>37</v>
      </c>
      <c r="C118" s="138">
        <f t="shared" si="471"/>
        <v>-261964.59000000008</v>
      </c>
      <c r="D118" s="28">
        <f t="shared" si="471"/>
        <v>-188087.92999999993</v>
      </c>
      <c r="E118" s="28">
        <f t="shared" ref="E118:V118" si="481">E97-E104</f>
        <v>-341438.87999999989</v>
      </c>
      <c r="F118" s="28">
        <f t="shared" si="481"/>
        <v>-640213.06000000006</v>
      </c>
      <c r="G118" s="28">
        <f t="shared" si="481"/>
        <v>-187125.96999999997</v>
      </c>
      <c r="H118" s="28">
        <f t="shared" si="481"/>
        <v>-38515.329999999987</v>
      </c>
      <c r="I118" s="28">
        <f t="shared" si="481"/>
        <v>21515.709999999992</v>
      </c>
      <c r="J118" s="28">
        <f t="shared" si="481"/>
        <v>9773.859999999986</v>
      </c>
      <c r="K118" s="28">
        <f t="shared" si="481"/>
        <v>373476.98300000001</v>
      </c>
      <c r="L118" s="72">
        <f t="shared" si="481"/>
        <v>421637.72</v>
      </c>
      <c r="M118" s="138">
        <f t="shared" si="481"/>
        <v>600628.64999999991</v>
      </c>
      <c r="N118" s="28">
        <f t="shared" si="481"/>
        <v>-31336.189999999944</v>
      </c>
      <c r="O118" s="28">
        <f t="shared" si="481"/>
        <v>-321307.8899999999</v>
      </c>
      <c r="P118" s="28">
        <f t="shared" si="481"/>
        <v>-18591.159999999916</v>
      </c>
      <c r="Q118" s="28">
        <f t="shared" si="481"/>
        <v>-88444.079999999958</v>
      </c>
      <c r="R118" s="28">
        <f t="shared" si="481"/>
        <v>-592444.72</v>
      </c>
      <c r="S118" s="28">
        <f t="shared" si="481"/>
        <v>-135999.38</v>
      </c>
      <c r="T118" s="28">
        <f t="shared" si="481"/>
        <v>-42478.559999999998</v>
      </c>
      <c r="U118" s="28">
        <f t="shared" si="481"/>
        <v>-100743.59000000001</v>
      </c>
      <c r="V118" s="28">
        <f t="shared" si="481"/>
        <v>17030.98000000001</v>
      </c>
      <c r="W118" s="28">
        <f t="shared" si="445"/>
        <v>278869.5</v>
      </c>
      <c r="X118" s="72">
        <f t="shared" si="445"/>
        <v>450574.05000000005</v>
      </c>
      <c r="Y118" s="28">
        <f t="shared" si="445"/>
        <v>841932.89</v>
      </c>
      <c r="Z118" s="28">
        <f t="shared" si="445"/>
        <v>202891.74</v>
      </c>
      <c r="AA118" s="28">
        <f t="shared" si="445"/>
        <v>-828588.89000000013</v>
      </c>
      <c r="AB118" s="28">
        <f t="shared" si="473"/>
        <v>-171517.65999999992</v>
      </c>
      <c r="AC118" s="28" t="e">
        <f t="shared" si="473"/>
        <v>#REF!</v>
      </c>
      <c r="AD118" s="28" t="e">
        <f t="shared" si="446"/>
        <v>#REF!</v>
      </c>
      <c r="AE118" s="28">
        <f t="shared" si="446"/>
        <v>225214</v>
      </c>
      <c r="AF118" s="28">
        <f t="shared" si="446"/>
        <v>222079</v>
      </c>
      <c r="AG118" s="28">
        <f t="shared" si="446"/>
        <v>125540</v>
      </c>
      <c r="AH118" s="28">
        <f t="shared" si="446"/>
        <v>208930</v>
      </c>
      <c r="AI118" s="28">
        <f t="shared" si="446"/>
        <v>695033</v>
      </c>
      <c r="AJ118" s="28">
        <f t="shared" ref="AJ118:AY118" si="482">AJ97-AJ104</f>
        <v>1544011</v>
      </c>
      <c r="AK118" s="138">
        <f t="shared" si="482"/>
        <v>2022301</v>
      </c>
      <c r="AL118" s="28">
        <f t="shared" si="482"/>
        <v>2432836</v>
      </c>
      <c r="AM118" s="28">
        <f t="shared" si="482"/>
        <v>2023591</v>
      </c>
      <c r="AN118" s="28">
        <f t="shared" si="482"/>
        <v>1901450</v>
      </c>
      <c r="AO118" s="28">
        <f t="shared" si="482"/>
        <v>1005272</v>
      </c>
      <c r="AP118" s="28">
        <f t="shared" si="482"/>
        <v>992907</v>
      </c>
      <c r="AQ118" s="28">
        <f t="shared" si="482"/>
        <v>364746</v>
      </c>
      <c r="AR118" s="28">
        <f t="shared" si="482"/>
        <v>370058</v>
      </c>
      <c r="AS118" s="28">
        <f t="shared" si="482"/>
        <v>369140</v>
      </c>
      <c r="AT118" s="28">
        <f t="shared" si="482"/>
        <v>479431</v>
      </c>
      <c r="AU118" s="28">
        <f t="shared" si="482"/>
        <v>710772</v>
      </c>
      <c r="AV118" s="28">
        <f t="shared" si="482"/>
        <v>1580179</v>
      </c>
      <c r="AW118" s="138">
        <f t="shared" si="482"/>
        <v>2148175</v>
      </c>
      <c r="AX118" s="28">
        <f t="shared" si="482"/>
        <v>2157200</v>
      </c>
      <c r="AY118" s="28">
        <f t="shared" si="482"/>
        <v>1925814</v>
      </c>
      <c r="AZ118" s="28">
        <f t="shared" ref="AZ118:BE118" si="483">AZ97-AZ104</f>
        <v>1528869</v>
      </c>
      <c r="BA118" s="28">
        <f t="shared" si="483"/>
        <v>570772</v>
      </c>
      <c r="BB118" s="28">
        <f t="shared" si="483"/>
        <v>386892</v>
      </c>
      <c r="BC118" s="28">
        <f t="shared" si="483"/>
        <v>216017</v>
      </c>
      <c r="BD118" s="28">
        <f t="shared" si="483"/>
        <v>188279</v>
      </c>
      <c r="BE118" s="28">
        <f t="shared" si="483"/>
        <v>227707</v>
      </c>
      <c r="BF118" s="28">
        <f t="shared" ref="BF118:BG118" si="484">BF97-BF104</f>
        <v>255556</v>
      </c>
      <c r="BG118" s="28">
        <f t="shared" si="484"/>
        <v>602752</v>
      </c>
      <c r="BH118" s="28">
        <v>1238016</v>
      </c>
      <c r="BI118" s="168">
        <f t="shared" si="452"/>
        <v>125874</v>
      </c>
      <c r="BJ118" s="104">
        <f t="shared" si="453"/>
        <v>-275636</v>
      </c>
      <c r="BK118" s="104">
        <f t="shared" si="454"/>
        <v>-97777</v>
      </c>
      <c r="BL118" s="104">
        <f t="shared" si="455"/>
        <v>-372581</v>
      </c>
      <c r="BM118" s="104">
        <f t="shared" si="455"/>
        <v>-434500</v>
      </c>
      <c r="BN118" s="104">
        <f t="shared" si="455"/>
        <v>-606015</v>
      </c>
      <c r="BO118" s="104">
        <f t="shared" si="455"/>
        <v>-148729</v>
      </c>
      <c r="BP118" s="104">
        <f t="shared" si="456"/>
        <v>-181779</v>
      </c>
      <c r="BQ118" s="104">
        <f t="shared" si="457"/>
        <v>-141433</v>
      </c>
      <c r="BR118" s="104">
        <f t="shared" si="458"/>
        <v>-223875</v>
      </c>
      <c r="BS118" s="104">
        <f t="shared" si="458"/>
        <v>-108020</v>
      </c>
      <c r="BT118" s="106">
        <f t="shared" si="458"/>
        <v>-342163</v>
      </c>
      <c r="BU118" s="168"/>
      <c r="BV118" s="28"/>
      <c r="BW118" s="28"/>
      <c r="BX118" s="28"/>
      <c r="BY118" s="28"/>
      <c r="BZ118" s="28"/>
      <c r="CA118" s="28"/>
      <c r="CB118" s="28"/>
      <c r="CC118" s="28"/>
      <c r="CD118" s="28"/>
      <c r="CE118" s="28"/>
      <c r="CF118" s="72"/>
      <c r="CG118" s="168">
        <f t="shared" si="459"/>
        <v>-125874</v>
      </c>
      <c r="CH118" s="104">
        <f t="shared" si="460"/>
        <v>275636</v>
      </c>
      <c r="CI118" s="104">
        <f t="shared" si="461"/>
        <v>97777</v>
      </c>
      <c r="CJ118" s="104">
        <f t="shared" si="462"/>
        <v>372581</v>
      </c>
      <c r="CK118" s="104">
        <f t="shared" si="463"/>
        <v>434500</v>
      </c>
      <c r="CL118" s="104">
        <f t="shared" si="464"/>
        <v>606015</v>
      </c>
      <c r="CM118" s="104">
        <f t="shared" si="465"/>
        <v>148729</v>
      </c>
      <c r="CN118" s="104">
        <f t="shared" si="466"/>
        <v>181779</v>
      </c>
      <c r="CO118" s="104">
        <f t="shared" si="467"/>
        <v>141433</v>
      </c>
      <c r="CP118" s="104">
        <f t="shared" si="468"/>
        <v>223875</v>
      </c>
      <c r="CQ118" s="104">
        <f t="shared" si="469"/>
        <v>108020</v>
      </c>
      <c r="CR118" s="106">
        <f t="shared" si="470"/>
        <v>342163</v>
      </c>
    </row>
    <row r="119" spans="1:96" x14ac:dyDescent="0.25">
      <c r="A119" s="49"/>
      <c r="B119" s="96" t="s">
        <v>38</v>
      </c>
      <c r="C119" s="138">
        <f t="shared" si="471"/>
        <v>-133467.93000000005</v>
      </c>
      <c r="D119" s="28">
        <f t="shared" si="471"/>
        <v>-418325.67000000004</v>
      </c>
      <c r="E119" s="28">
        <f t="shared" ref="E119:V119" si="485">E98-E105</f>
        <v>5034.0599999999977</v>
      </c>
      <c r="F119" s="28">
        <f t="shared" si="485"/>
        <v>-411856</v>
      </c>
      <c r="G119" s="28">
        <f t="shared" si="485"/>
        <v>-210896.86</v>
      </c>
      <c r="H119" s="28">
        <f t="shared" si="485"/>
        <v>-189716.46000000002</v>
      </c>
      <c r="I119" s="28">
        <f t="shared" si="485"/>
        <v>-202738.93</v>
      </c>
      <c r="J119" s="28">
        <f t="shared" si="485"/>
        <v>-92098.599999999977</v>
      </c>
      <c r="K119" s="28">
        <f t="shared" si="485"/>
        <v>-97613.200000000012</v>
      </c>
      <c r="L119" s="72">
        <f t="shared" si="485"/>
        <v>-101282.78999999998</v>
      </c>
      <c r="M119" s="138">
        <f t="shared" si="485"/>
        <v>-138047.95000000001</v>
      </c>
      <c r="N119" s="28">
        <f t="shared" si="485"/>
        <v>-200695.96999999997</v>
      </c>
      <c r="O119" s="28">
        <f t="shared" si="485"/>
        <v>-180606.83000000002</v>
      </c>
      <c r="P119" s="28">
        <f t="shared" si="485"/>
        <v>-25756.200000000012</v>
      </c>
      <c r="Q119" s="28">
        <f t="shared" si="485"/>
        <v>-187823.64</v>
      </c>
      <c r="R119" s="28">
        <f t="shared" si="485"/>
        <v>-347215.03</v>
      </c>
      <c r="S119" s="28">
        <f t="shared" si="485"/>
        <v>-173714.96999999997</v>
      </c>
      <c r="T119" s="28">
        <f t="shared" si="485"/>
        <v>-245011.27000000002</v>
      </c>
      <c r="U119" s="28">
        <f t="shared" si="485"/>
        <v>-146798.76000000004</v>
      </c>
      <c r="V119" s="28">
        <f t="shared" si="485"/>
        <v>-199758.90999999997</v>
      </c>
      <c r="W119" s="28">
        <f t="shared" si="445"/>
        <v>74623.19</v>
      </c>
      <c r="X119" s="72">
        <f t="shared" si="445"/>
        <v>-282215.84999999998</v>
      </c>
      <c r="Y119" s="28">
        <f t="shared" si="445"/>
        <v>-54915.570000000007</v>
      </c>
      <c r="Z119" s="28">
        <f t="shared" si="445"/>
        <v>-162142.76</v>
      </c>
      <c r="AA119" s="28">
        <f t="shared" si="445"/>
        <v>-577652.09</v>
      </c>
      <c r="AB119" s="28">
        <f t="shared" si="473"/>
        <v>-238721.62</v>
      </c>
      <c r="AC119" s="28" t="e">
        <f t="shared" si="473"/>
        <v>#REF!</v>
      </c>
      <c r="AD119" s="28" t="e">
        <f t="shared" si="446"/>
        <v>#REF!</v>
      </c>
      <c r="AE119" s="28">
        <f t="shared" si="446"/>
        <v>174336</v>
      </c>
      <c r="AF119" s="28">
        <f t="shared" si="446"/>
        <v>226038</v>
      </c>
      <c r="AG119" s="28">
        <f t="shared" si="446"/>
        <v>39454</v>
      </c>
      <c r="AH119" s="28">
        <f t="shared" si="446"/>
        <v>194495</v>
      </c>
      <c r="AI119" s="28">
        <f t="shared" si="446"/>
        <v>321514</v>
      </c>
      <c r="AJ119" s="28">
        <f t="shared" ref="AJ119:AY119" si="486">AJ98-AJ105</f>
        <v>432022</v>
      </c>
      <c r="AK119" s="138">
        <f t="shared" si="486"/>
        <v>446912</v>
      </c>
      <c r="AL119" s="28">
        <f t="shared" si="486"/>
        <v>584590</v>
      </c>
      <c r="AM119" s="28">
        <f t="shared" si="486"/>
        <v>329651</v>
      </c>
      <c r="AN119" s="28">
        <f t="shared" si="486"/>
        <v>365988</v>
      </c>
      <c r="AO119" s="28">
        <f t="shared" si="486"/>
        <v>512367</v>
      </c>
      <c r="AP119" s="28">
        <f t="shared" si="486"/>
        <v>333912</v>
      </c>
      <c r="AQ119" s="28">
        <f t="shared" si="486"/>
        <v>184014</v>
      </c>
      <c r="AR119" s="28">
        <f t="shared" si="486"/>
        <v>432139</v>
      </c>
      <c r="AS119" s="28">
        <f t="shared" si="486"/>
        <v>298029</v>
      </c>
      <c r="AT119" s="28">
        <f t="shared" si="486"/>
        <v>406192</v>
      </c>
      <c r="AU119" s="28">
        <f t="shared" si="486"/>
        <v>321727</v>
      </c>
      <c r="AV119" s="28">
        <f t="shared" si="486"/>
        <v>384096</v>
      </c>
      <c r="AW119" s="138">
        <f t="shared" si="486"/>
        <v>376520</v>
      </c>
      <c r="AX119" s="28">
        <f t="shared" si="486"/>
        <v>360738</v>
      </c>
      <c r="AY119" s="28">
        <f t="shared" si="486"/>
        <v>483322</v>
      </c>
      <c r="AZ119" s="28">
        <f t="shared" ref="AZ119:BE119" si="487">AZ98-AZ105</f>
        <v>243711</v>
      </c>
      <c r="BA119" s="28">
        <f t="shared" si="487"/>
        <v>264568</v>
      </c>
      <c r="BB119" s="28">
        <f t="shared" si="487"/>
        <v>313648</v>
      </c>
      <c r="BC119" s="28">
        <f t="shared" si="487"/>
        <v>183074</v>
      </c>
      <c r="BD119" s="28">
        <f t="shared" si="487"/>
        <v>155751</v>
      </c>
      <c r="BE119" s="28">
        <f t="shared" si="487"/>
        <v>158028</v>
      </c>
      <c r="BF119" s="28">
        <f t="shared" ref="BF119:BG119" si="488">BF98-BF105</f>
        <v>332909</v>
      </c>
      <c r="BG119" s="28">
        <f t="shared" si="488"/>
        <v>177519</v>
      </c>
      <c r="BH119" s="28">
        <v>180875</v>
      </c>
      <c r="BI119" s="168">
        <f t="shared" si="452"/>
        <v>-70392</v>
      </c>
      <c r="BJ119" s="104">
        <f t="shared" si="453"/>
        <v>-223852</v>
      </c>
      <c r="BK119" s="104">
        <f t="shared" si="454"/>
        <v>153671</v>
      </c>
      <c r="BL119" s="104">
        <f t="shared" si="455"/>
        <v>-122277</v>
      </c>
      <c r="BM119" s="104">
        <f t="shared" si="455"/>
        <v>-247799</v>
      </c>
      <c r="BN119" s="104">
        <f t="shared" si="455"/>
        <v>-20264</v>
      </c>
      <c r="BO119" s="104">
        <f t="shared" si="455"/>
        <v>-940</v>
      </c>
      <c r="BP119" s="104">
        <f t="shared" si="456"/>
        <v>-276388</v>
      </c>
      <c r="BQ119" s="104">
        <f t="shared" si="457"/>
        <v>-140001</v>
      </c>
      <c r="BR119" s="104">
        <f t="shared" si="458"/>
        <v>-73283</v>
      </c>
      <c r="BS119" s="104">
        <f t="shared" si="458"/>
        <v>-144208</v>
      </c>
      <c r="BT119" s="106">
        <f t="shared" si="458"/>
        <v>-203221</v>
      </c>
      <c r="BU119" s="168"/>
      <c r="BV119" s="28"/>
      <c r="BW119" s="28"/>
      <c r="BX119" s="28"/>
      <c r="BY119" s="28"/>
      <c r="BZ119" s="28"/>
      <c r="CA119" s="28"/>
      <c r="CB119" s="28"/>
      <c r="CC119" s="28"/>
      <c r="CD119" s="28"/>
      <c r="CE119" s="28"/>
      <c r="CF119" s="72"/>
      <c r="CG119" s="168">
        <f t="shared" si="459"/>
        <v>70392</v>
      </c>
      <c r="CH119" s="104">
        <f t="shared" si="460"/>
        <v>223852</v>
      </c>
      <c r="CI119" s="104">
        <f t="shared" si="461"/>
        <v>-153671</v>
      </c>
      <c r="CJ119" s="104">
        <f t="shared" si="462"/>
        <v>122277</v>
      </c>
      <c r="CK119" s="104">
        <f t="shared" si="463"/>
        <v>247799</v>
      </c>
      <c r="CL119" s="104">
        <f t="shared" si="464"/>
        <v>20264</v>
      </c>
      <c r="CM119" s="104">
        <f t="shared" si="465"/>
        <v>940</v>
      </c>
      <c r="CN119" s="104">
        <f t="shared" si="466"/>
        <v>276388</v>
      </c>
      <c r="CO119" s="104">
        <f t="shared" si="467"/>
        <v>140001</v>
      </c>
      <c r="CP119" s="104">
        <f t="shared" si="468"/>
        <v>73283</v>
      </c>
      <c r="CQ119" s="104">
        <f t="shared" si="469"/>
        <v>144208</v>
      </c>
      <c r="CR119" s="106">
        <f t="shared" si="470"/>
        <v>203221</v>
      </c>
    </row>
    <row r="120" spans="1:96" ht="15.75" thickBot="1" x14ac:dyDescent="0.3">
      <c r="A120" s="49"/>
      <c r="B120" s="98" t="s">
        <v>39</v>
      </c>
      <c r="C120" s="157">
        <f>SUM(C115:C119)</f>
        <v>918046.67999999959</v>
      </c>
      <c r="D120" s="158">
        <f>SUM(D115:D119)</f>
        <v>-1766515.71</v>
      </c>
      <c r="E120" s="158">
        <f t="shared" ref="E120:V120" si="489">SUM(E115:E119)</f>
        <v>-2487355.35</v>
      </c>
      <c r="F120" s="158">
        <f t="shared" si="489"/>
        <v>-1979277.1400000001</v>
      </c>
      <c r="G120" s="158">
        <f t="shared" si="489"/>
        <v>-1187091.3399999999</v>
      </c>
      <c r="H120" s="158">
        <f t="shared" si="489"/>
        <v>-577026.99</v>
      </c>
      <c r="I120" s="158">
        <f t="shared" si="489"/>
        <v>-351264.81000000006</v>
      </c>
      <c r="J120" s="158">
        <f t="shared" si="489"/>
        <v>-226894.98000000004</v>
      </c>
      <c r="K120" s="158">
        <f t="shared" si="489"/>
        <v>2254409.8829999999</v>
      </c>
      <c r="L120" s="159">
        <f t="shared" si="489"/>
        <v>3847306.24</v>
      </c>
      <c r="M120" s="157">
        <f t="shared" si="489"/>
        <v>3840140.23</v>
      </c>
      <c r="N120" s="158">
        <f t="shared" si="489"/>
        <v>538504.94999999972</v>
      </c>
      <c r="O120" s="158">
        <f t="shared" si="489"/>
        <v>-895083.36000000034</v>
      </c>
      <c r="P120" s="158">
        <f t="shared" si="489"/>
        <v>223370.33000000025</v>
      </c>
      <c r="Q120" s="158">
        <f t="shared" si="489"/>
        <v>-601057.1399999999</v>
      </c>
      <c r="R120" s="158">
        <f t="shared" si="489"/>
        <v>-3854192.6800000006</v>
      </c>
      <c r="S120" s="158">
        <f>SUM(S115:S119)</f>
        <v>-1219438.57</v>
      </c>
      <c r="T120" s="158">
        <f t="shared" si="489"/>
        <v>-596995.93999999994</v>
      </c>
      <c r="U120" s="158">
        <f t="shared" si="489"/>
        <v>-494478.42999999993</v>
      </c>
      <c r="V120" s="158">
        <f t="shared" si="489"/>
        <v>-176341.49000000008</v>
      </c>
      <c r="W120" s="158">
        <f t="shared" ref="W120:AC120" si="490">SUM(W115:W119)</f>
        <v>1934681.04</v>
      </c>
      <c r="X120" s="159">
        <f t="shared" si="490"/>
        <v>3202751.5900000003</v>
      </c>
      <c r="Y120" s="158">
        <f t="shared" si="490"/>
        <v>5589690.0299999993</v>
      </c>
      <c r="Z120" s="158">
        <f t="shared" si="490"/>
        <v>3158299.3200000003</v>
      </c>
      <c r="AA120" s="158">
        <f t="shared" si="490"/>
        <v>-2938745.9800000004</v>
      </c>
      <c r="AB120" s="158">
        <f t="shared" si="490"/>
        <v>-1762531.0499999998</v>
      </c>
      <c r="AC120" s="158" t="e">
        <f t="shared" si="490"/>
        <v>#REF!</v>
      </c>
      <c r="AD120" s="158" t="e">
        <f>SUM(AD115:AD119)</f>
        <v>#REF!</v>
      </c>
      <c r="AE120" s="158">
        <f>AE99-AE106</f>
        <v>-1338169.44</v>
      </c>
      <c r="AF120" s="158">
        <f>AF99-AF106</f>
        <v>-1274619.0099999998</v>
      </c>
      <c r="AG120" s="158">
        <f>AG99-AG106</f>
        <v>-623173.10000000009</v>
      </c>
      <c r="AH120" s="158">
        <f>AH99-AH106</f>
        <v>-261004.54999999981</v>
      </c>
      <c r="AI120" s="158">
        <f>AI99-AI106</f>
        <v>-678919.08000000007</v>
      </c>
      <c r="AJ120" s="158">
        <f t="shared" ref="AJ120:AP120" si="491">AJ99-AJ106</f>
        <v>5877420.9400000004</v>
      </c>
      <c r="AK120" s="157">
        <f t="shared" si="491"/>
        <v>6366802.1600000001</v>
      </c>
      <c r="AL120" s="158">
        <f t="shared" si="491"/>
        <v>4586674.5500000007</v>
      </c>
      <c r="AM120" s="158">
        <f t="shared" si="491"/>
        <v>643737.55000000075</v>
      </c>
      <c r="AN120" s="158">
        <f t="shared" si="491"/>
        <v>-1194011.4499999993</v>
      </c>
      <c r="AO120" s="158">
        <f t="shared" si="491"/>
        <v>-3962966.42</v>
      </c>
      <c r="AP120" s="158">
        <f t="shared" si="491"/>
        <v>-2881087.1500000004</v>
      </c>
      <c r="AQ120" s="158">
        <f t="shared" ref="AQ120:AY120" si="492">AQ99-AQ106</f>
        <v>-1826120.83</v>
      </c>
      <c r="AR120" s="158">
        <f t="shared" si="492"/>
        <v>-1492397.1900000004</v>
      </c>
      <c r="AS120" s="158">
        <f t="shared" si="492"/>
        <v>-75303.560000000056</v>
      </c>
      <c r="AT120" s="158">
        <f t="shared" si="492"/>
        <v>-37665.660000000149</v>
      </c>
      <c r="AU120" s="158">
        <f t="shared" si="492"/>
        <v>931586.16000000015</v>
      </c>
      <c r="AV120" s="158">
        <f t="shared" si="492"/>
        <v>5579293.6399999997</v>
      </c>
      <c r="AW120" s="157">
        <f t="shared" si="492"/>
        <v>4771833.7799999993</v>
      </c>
      <c r="AX120" s="158">
        <f t="shared" si="492"/>
        <v>3132678.8499999996</v>
      </c>
      <c r="AY120" s="158">
        <f t="shared" si="492"/>
        <v>-276311.30000000075</v>
      </c>
      <c r="AZ120" s="158">
        <f t="shared" ref="AZ120:BE120" si="493">AZ99-AZ106</f>
        <v>-230851.81000000052</v>
      </c>
      <c r="BA120" s="158">
        <f t="shared" si="493"/>
        <v>-5955940.0399999991</v>
      </c>
      <c r="BB120" s="158">
        <f t="shared" si="493"/>
        <v>-3025128.8499999996</v>
      </c>
      <c r="BC120" s="158">
        <f t="shared" si="493"/>
        <v>-4226455</v>
      </c>
      <c r="BD120" s="158">
        <f t="shared" si="493"/>
        <v>-1778826</v>
      </c>
      <c r="BE120" s="158">
        <f t="shared" si="493"/>
        <v>-503314.54000000004</v>
      </c>
      <c r="BF120" s="158">
        <f t="shared" ref="BF120:BH120" si="494">BF99-BF106</f>
        <v>-625181.60000000009</v>
      </c>
      <c r="BG120" s="158">
        <f t="shared" si="494"/>
        <v>1559465.5099999998</v>
      </c>
      <c r="BH120" s="158">
        <f t="shared" si="494"/>
        <v>4119427.76</v>
      </c>
      <c r="BI120" s="168">
        <f t="shared" si="452"/>
        <v>-1594968.3800000008</v>
      </c>
      <c r="BJ120" s="104">
        <f t="shared" si="453"/>
        <v>-1453995.7000000011</v>
      </c>
      <c r="BK120" s="104">
        <f t="shared" si="454"/>
        <v>-920048.85000000149</v>
      </c>
      <c r="BL120" s="104">
        <f t="shared" si="455"/>
        <v>963159.63999999873</v>
      </c>
      <c r="BM120" s="104">
        <f t="shared" si="455"/>
        <v>-1992973.6199999992</v>
      </c>
      <c r="BN120" s="104">
        <f t="shared" si="455"/>
        <v>-144041.69999999925</v>
      </c>
      <c r="BO120" s="104">
        <f t="shared" si="455"/>
        <v>-2400334.17</v>
      </c>
      <c r="BP120" s="104">
        <f t="shared" si="456"/>
        <v>-286428.80999999959</v>
      </c>
      <c r="BQ120" s="104">
        <f t="shared" si="457"/>
        <v>-428010.98</v>
      </c>
      <c r="BR120" s="104">
        <f t="shared" si="458"/>
        <v>-587515.93999999994</v>
      </c>
      <c r="BS120" s="104">
        <f t="shared" si="458"/>
        <v>627879.34999999963</v>
      </c>
      <c r="BT120" s="106">
        <f t="shared" si="458"/>
        <v>-1459865.88</v>
      </c>
      <c r="BU120" s="171">
        <f t="shared" ref="BU120:CF120" si="495">BU99-BU106</f>
        <v>3035414.1199999992</v>
      </c>
      <c r="BV120" s="160">
        <f t="shared" si="495"/>
        <v>2799754.91</v>
      </c>
      <c r="BW120" s="160">
        <f t="shared" si="495"/>
        <v>-1573364.7400000002</v>
      </c>
      <c r="BX120" s="160">
        <f t="shared" si="495"/>
        <v>-2175791.5399999991</v>
      </c>
      <c r="BY120" s="160">
        <f t="shared" si="495"/>
        <v>-2051530.2100000009</v>
      </c>
      <c r="BZ120" s="160">
        <v>-1905122.2699999996</v>
      </c>
      <c r="CA120" s="160">
        <f t="shared" si="495"/>
        <v>-1576044.6100000003</v>
      </c>
      <c r="CB120" s="160">
        <f t="shared" si="495"/>
        <v>-811910.12000000011</v>
      </c>
      <c r="CC120" s="160">
        <f t="shared" si="495"/>
        <v>-1108703.6400000001</v>
      </c>
      <c r="CD120" s="160">
        <f t="shared" si="495"/>
        <v>-111664.91999999993</v>
      </c>
      <c r="CE120" s="160">
        <f t="shared" si="495"/>
        <v>2009847.54</v>
      </c>
      <c r="CF120" s="206">
        <f t="shared" si="495"/>
        <v>0</v>
      </c>
      <c r="CG120" s="168">
        <f t="shared" si="459"/>
        <v>4630382.5</v>
      </c>
      <c r="CH120" s="104">
        <f t="shared" si="460"/>
        <v>4253750.6100000013</v>
      </c>
      <c r="CI120" s="104">
        <f t="shared" si="461"/>
        <v>-653315.88999999873</v>
      </c>
      <c r="CJ120" s="104">
        <f t="shared" si="462"/>
        <v>-3138951.1799999978</v>
      </c>
      <c r="CK120" s="104">
        <f t="shared" si="463"/>
        <v>-58556.590000001714</v>
      </c>
      <c r="CL120" s="104">
        <f t="shared" si="464"/>
        <v>-1761080.5700000003</v>
      </c>
      <c r="CM120" s="104">
        <f t="shared" si="465"/>
        <v>824289.55999999959</v>
      </c>
      <c r="CN120" s="104">
        <f t="shared" si="466"/>
        <v>-525481.31000000052</v>
      </c>
      <c r="CO120" s="104">
        <f t="shared" si="467"/>
        <v>-680692.66000000015</v>
      </c>
      <c r="CP120" s="104">
        <f t="shared" si="468"/>
        <v>475851.02</v>
      </c>
      <c r="CQ120" s="104">
        <f t="shared" si="469"/>
        <v>1381968.1900000004</v>
      </c>
      <c r="CR120" s="106">
        <f t="shared" si="470"/>
        <v>1459865.88</v>
      </c>
    </row>
    <row r="121" spans="1:96" x14ac:dyDescent="0.25">
      <c r="A121" s="49">
        <f>+A114+1</f>
        <v>17</v>
      </c>
      <c r="B121" s="93" t="s">
        <v>19</v>
      </c>
      <c r="C121" s="149"/>
      <c r="D121" s="116"/>
      <c r="E121" s="116"/>
      <c r="F121" s="116"/>
      <c r="G121" s="116"/>
      <c r="H121" s="116"/>
      <c r="I121" s="116"/>
      <c r="J121" s="116"/>
      <c r="K121" s="116"/>
      <c r="L121" s="117"/>
      <c r="M121" s="149"/>
      <c r="N121" s="116"/>
      <c r="O121" s="116"/>
      <c r="P121" s="116"/>
      <c r="Q121" s="116"/>
      <c r="R121" s="116"/>
      <c r="S121" s="116"/>
      <c r="T121" s="116"/>
      <c r="U121" s="116"/>
      <c r="V121" s="116"/>
      <c r="W121" s="116"/>
      <c r="X121" s="117"/>
      <c r="Y121" s="116"/>
      <c r="Z121" s="116"/>
      <c r="AA121" s="116"/>
      <c r="AB121" s="116"/>
      <c r="AC121" s="116"/>
      <c r="AD121" s="116"/>
      <c r="AE121" s="116"/>
      <c r="AF121" s="116"/>
      <c r="AG121" s="116"/>
      <c r="AH121" s="116"/>
      <c r="AI121" s="116"/>
      <c r="AJ121" s="116"/>
      <c r="AK121" s="149"/>
      <c r="AL121" s="116"/>
      <c r="AM121" s="116"/>
      <c r="AN121" s="116"/>
      <c r="AO121" s="116"/>
      <c r="AP121" s="116"/>
      <c r="AQ121" s="116"/>
      <c r="AR121" s="116"/>
      <c r="AS121" s="116"/>
      <c r="AT121" s="116"/>
      <c r="AU121" s="116"/>
      <c r="AV121" s="116"/>
      <c r="AW121" s="173"/>
      <c r="AX121" s="119"/>
      <c r="AY121" s="94"/>
      <c r="AZ121" s="94"/>
      <c r="BA121" s="94"/>
      <c r="BB121" s="94"/>
      <c r="BC121" s="94"/>
      <c r="BD121" s="94"/>
      <c r="BE121" s="94"/>
      <c r="BF121" s="94"/>
      <c r="BG121" s="94"/>
      <c r="BH121" s="95"/>
      <c r="BI121" s="173"/>
      <c r="BJ121" s="119"/>
      <c r="BK121" s="94"/>
      <c r="BL121" s="94"/>
      <c r="BM121" s="94"/>
      <c r="BN121" s="94"/>
      <c r="BO121" s="94"/>
      <c r="BP121" s="94"/>
      <c r="BQ121" s="94"/>
      <c r="BR121" s="94"/>
      <c r="BS121" s="94"/>
      <c r="BT121" s="95"/>
      <c r="BU121" s="173"/>
      <c r="BV121" s="119"/>
      <c r="BW121" s="119"/>
      <c r="BX121" s="119"/>
      <c r="BY121" s="119"/>
      <c r="BZ121" s="94"/>
      <c r="CA121" s="94"/>
      <c r="CB121" s="94"/>
      <c r="CC121" s="94"/>
      <c r="CD121" s="94"/>
      <c r="CE121" s="94"/>
      <c r="CF121" s="95"/>
      <c r="CG121" s="173"/>
      <c r="CH121" s="119"/>
      <c r="CI121" s="94"/>
      <c r="CJ121" s="94"/>
      <c r="CK121" s="94"/>
      <c r="CL121" s="94"/>
      <c r="CM121" s="94"/>
      <c r="CN121" s="94"/>
      <c r="CO121" s="94"/>
      <c r="CP121" s="94"/>
      <c r="CQ121" s="94"/>
      <c r="CR121" s="95"/>
    </row>
    <row r="122" spans="1:96" x14ac:dyDescent="0.25">
      <c r="A122" s="49"/>
      <c r="B122" s="96" t="s">
        <v>34</v>
      </c>
      <c r="C122" s="135">
        <v>0</v>
      </c>
      <c r="D122" s="45">
        <v>0</v>
      </c>
      <c r="E122" s="45">
        <v>0</v>
      </c>
      <c r="F122" s="45">
        <v>0</v>
      </c>
      <c r="G122" s="45">
        <v>0</v>
      </c>
      <c r="H122" s="45">
        <v>0</v>
      </c>
      <c r="I122" s="45">
        <v>0</v>
      </c>
      <c r="J122" s="45">
        <v>1</v>
      </c>
      <c r="K122" s="45">
        <v>2</v>
      </c>
      <c r="L122" s="136">
        <v>3</v>
      </c>
      <c r="M122" s="135">
        <v>4</v>
      </c>
      <c r="N122" s="45">
        <v>4</v>
      </c>
      <c r="O122" s="45">
        <v>5</v>
      </c>
      <c r="P122" s="45">
        <v>7</v>
      </c>
      <c r="Q122" s="45">
        <v>10</v>
      </c>
      <c r="R122" s="45">
        <v>20</v>
      </c>
      <c r="S122" s="45">
        <v>16</v>
      </c>
      <c r="T122" s="45">
        <v>16</v>
      </c>
      <c r="U122" s="45">
        <v>16</v>
      </c>
      <c r="V122" s="45">
        <v>12</v>
      </c>
      <c r="W122" s="45">
        <v>25</v>
      </c>
      <c r="X122" s="136">
        <v>36</v>
      </c>
      <c r="Y122" s="45">
        <v>36</v>
      </c>
      <c r="Z122" s="45">
        <v>42</v>
      </c>
      <c r="AA122" s="43">
        <v>38</v>
      </c>
      <c r="AB122" s="45">
        <v>30</v>
      </c>
      <c r="AC122" s="45">
        <v>0</v>
      </c>
      <c r="AD122" s="45">
        <v>0</v>
      </c>
      <c r="AE122" s="45">
        <v>0</v>
      </c>
      <c r="AF122" s="45">
        <v>0</v>
      </c>
      <c r="AG122" s="45">
        <v>0</v>
      </c>
      <c r="AH122" s="45">
        <v>0</v>
      </c>
      <c r="AI122" s="45">
        <v>0</v>
      </c>
      <c r="AJ122" s="45">
        <v>0</v>
      </c>
      <c r="AK122" s="135">
        <v>0</v>
      </c>
      <c r="AL122" s="45">
        <v>12</v>
      </c>
      <c r="AM122" s="45">
        <v>17</v>
      </c>
      <c r="AN122" s="45">
        <v>19</v>
      </c>
      <c r="AO122" s="45">
        <v>22</v>
      </c>
      <c r="AP122" s="45">
        <v>26</v>
      </c>
      <c r="AQ122" s="45">
        <v>16</v>
      </c>
      <c r="AR122" s="45">
        <v>38</v>
      </c>
      <c r="AS122" s="45">
        <v>2040</v>
      </c>
      <c r="AT122" s="45">
        <v>2104</v>
      </c>
      <c r="AU122" s="45">
        <v>2130</v>
      </c>
      <c r="AV122" s="45">
        <v>2199</v>
      </c>
      <c r="AW122" s="174">
        <v>2243</v>
      </c>
      <c r="AX122" s="131">
        <v>2267</v>
      </c>
      <c r="AY122" s="45">
        <v>2289</v>
      </c>
      <c r="AZ122" s="45">
        <v>2297</v>
      </c>
      <c r="BA122" s="37">
        <v>2310</v>
      </c>
      <c r="BB122" s="194">
        <v>98</v>
      </c>
      <c r="BC122" s="45">
        <v>2322</v>
      </c>
      <c r="BD122" s="82">
        <v>2337</v>
      </c>
      <c r="BE122" s="82">
        <v>2344</v>
      </c>
      <c r="BF122" s="82">
        <v>2375</v>
      </c>
      <c r="BG122" s="82">
        <v>2397</v>
      </c>
      <c r="BH122" s="82">
        <v>2417</v>
      </c>
      <c r="BI122" s="165">
        <f t="shared" ref="BI122:BI127" si="496">AW122-AK122</f>
        <v>2243</v>
      </c>
      <c r="BJ122" s="100">
        <f t="shared" ref="BJ122:BJ127" si="497">AX122-AL122</f>
        <v>2255</v>
      </c>
      <c r="BK122" s="100">
        <f t="shared" ref="BK122:BK127" si="498">AY122-AM122</f>
        <v>2272</v>
      </c>
      <c r="BL122" s="100">
        <f t="shared" ref="BL122:BO127" si="499">AZ122-AN122</f>
        <v>2278</v>
      </c>
      <c r="BM122" s="100">
        <f t="shared" si="499"/>
        <v>2288</v>
      </c>
      <c r="BN122" s="100">
        <f t="shared" si="499"/>
        <v>72</v>
      </c>
      <c r="BO122" s="100">
        <f t="shared" si="499"/>
        <v>2306</v>
      </c>
      <c r="BP122" s="100">
        <f t="shared" ref="BP122:BP127" si="500">BD122-AR122</f>
        <v>2299</v>
      </c>
      <c r="BQ122" s="100">
        <f t="shared" ref="BQ122:BQ127" si="501">BE122-AS122</f>
        <v>304</v>
      </c>
      <c r="BR122" s="100">
        <f t="shared" ref="BR122:BT127" si="502">BF122-AT122</f>
        <v>271</v>
      </c>
      <c r="BS122" s="100">
        <f t="shared" si="502"/>
        <v>267</v>
      </c>
      <c r="BT122" s="200">
        <f t="shared" si="502"/>
        <v>218</v>
      </c>
      <c r="BU122" s="220">
        <v>2443</v>
      </c>
      <c r="BV122" s="221">
        <v>2457</v>
      </c>
      <c r="BW122" s="221">
        <v>2477</v>
      </c>
      <c r="BX122" s="221">
        <v>2489</v>
      </c>
      <c r="BY122" s="221">
        <f>163+10259</f>
        <v>10422</v>
      </c>
      <c r="BZ122" s="194">
        <v>10457</v>
      </c>
      <c r="CA122" s="45">
        <v>10536</v>
      </c>
      <c r="CB122" s="82">
        <v>10580</v>
      </c>
      <c r="CC122" s="82">
        <v>10622</v>
      </c>
      <c r="CD122" s="82">
        <v>10650</v>
      </c>
      <c r="CE122" s="82">
        <v>10782</v>
      </c>
      <c r="CF122" s="215"/>
      <c r="CG122" s="165">
        <f t="shared" ref="CG122:CG127" si="503">BU122-BI122</f>
        <v>200</v>
      </c>
      <c r="CH122" s="100">
        <f t="shared" ref="CH122:CH127" si="504">BV122-BJ122</f>
        <v>202</v>
      </c>
      <c r="CI122" s="100">
        <f t="shared" ref="CI122:CI127" si="505">BW122-BK122</f>
        <v>205</v>
      </c>
      <c r="CJ122" s="100">
        <f t="shared" ref="CJ122:CJ127" si="506">BX122-BL122</f>
        <v>211</v>
      </c>
      <c r="CK122" s="100">
        <f t="shared" ref="CK122:CK127" si="507">BY122-BM122</f>
        <v>8134</v>
      </c>
      <c r="CL122" s="100">
        <f t="shared" ref="CL122:CL127" si="508">BZ122-BN122</f>
        <v>10385</v>
      </c>
      <c r="CM122" s="100">
        <f t="shared" ref="CM122:CM127" si="509">CA122-BO122</f>
        <v>8230</v>
      </c>
      <c r="CN122" s="100">
        <f t="shared" ref="CN122:CN127" si="510">CB122-BP122</f>
        <v>8281</v>
      </c>
      <c r="CO122" s="100">
        <f t="shared" ref="CO122:CO127" si="511">CC122-BQ122</f>
        <v>10318</v>
      </c>
      <c r="CP122" s="100">
        <f t="shared" ref="CP122:CP127" si="512">CD122-BR122</f>
        <v>10379</v>
      </c>
      <c r="CQ122" s="100">
        <f t="shared" ref="CQ122:CQ127" si="513">CE122-BS122</f>
        <v>10515</v>
      </c>
      <c r="CR122" s="200">
        <f t="shared" ref="CR122:CR127" si="514">CF122-BT122</f>
        <v>-218</v>
      </c>
    </row>
    <row r="123" spans="1:96" x14ac:dyDescent="0.25">
      <c r="A123" s="49"/>
      <c r="B123" s="96" t="s">
        <v>35</v>
      </c>
      <c r="C123" s="135">
        <v>97</v>
      </c>
      <c r="D123" s="45">
        <v>113</v>
      </c>
      <c r="E123" s="45">
        <v>132</v>
      </c>
      <c r="F123" s="45">
        <v>139</v>
      </c>
      <c r="G123" s="45">
        <v>117</v>
      </c>
      <c r="H123" s="45">
        <v>119</v>
      </c>
      <c r="I123" s="45">
        <v>106</v>
      </c>
      <c r="J123" s="45">
        <v>109</v>
      </c>
      <c r="K123" s="45">
        <v>93</v>
      </c>
      <c r="L123" s="136">
        <v>77</v>
      </c>
      <c r="M123" s="135">
        <v>69</v>
      </c>
      <c r="N123" s="45">
        <v>57</v>
      </c>
      <c r="O123" s="45">
        <v>58</v>
      </c>
      <c r="P123" s="45">
        <v>77</v>
      </c>
      <c r="Q123" s="45">
        <v>76</v>
      </c>
      <c r="R123" s="45">
        <v>798</v>
      </c>
      <c r="S123" s="45">
        <v>1253</v>
      </c>
      <c r="T123" s="45">
        <v>1050</v>
      </c>
      <c r="U123" s="45">
        <v>681</v>
      </c>
      <c r="V123" s="45">
        <v>796</v>
      </c>
      <c r="W123" s="45">
        <v>696</v>
      </c>
      <c r="X123" s="136">
        <v>535</v>
      </c>
      <c r="Y123" s="45">
        <v>426</v>
      </c>
      <c r="Z123" s="45">
        <v>484</v>
      </c>
      <c r="AA123" s="43">
        <v>433</v>
      </c>
      <c r="AB123" s="45">
        <v>362</v>
      </c>
      <c r="AC123" s="45">
        <v>187</v>
      </c>
      <c r="AD123" s="45">
        <v>1014</v>
      </c>
      <c r="AE123" s="45">
        <v>1190</v>
      </c>
      <c r="AF123" s="45">
        <v>1281</v>
      </c>
      <c r="AG123" s="45">
        <v>1055</v>
      </c>
      <c r="AH123" s="45">
        <v>805</v>
      </c>
      <c r="AI123" s="45">
        <v>687</v>
      </c>
      <c r="AJ123" s="45">
        <v>465</v>
      </c>
      <c r="AK123" s="135">
        <v>334</v>
      </c>
      <c r="AL123" s="45">
        <v>746</v>
      </c>
      <c r="AM123" s="45">
        <v>715</v>
      </c>
      <c r="AN123" s="45">
        <f>11+697</f>
        <v>708</v>
      </c>
      <c r="AO123" s="45">
        <f>13+1258</f>
        <v>1271</v>
      </c>
      <c r="AP123" s="45">
        <f>SUM(14+1518)</f>
        <v>1532</v>
      </c>
      <c r="AQ123" s="45">
        <f>12+1389</f>
        <v>1401</v>
      </c>
      <c r="AR123" s="45">
        <f>61+3651</f>
        <v>3712</v>
      </c>
      <c r="AS123" s="45">
        <v>4147</v>
      </c>
      <c r="AT123" s="45">
        <f>4128+74</f>
        <v>4202</v>
      </c>
      <c r="AU123" s="45">
        <f>4314+78</f>
        <v>4392</v>
      </c>
      <c r="AV123" s="45">
        <v>4663</v>
      </c>
      <c r="AW123" s="174">
        <v>4685</v>
      </c>
      <c r="AX123" s="131">
        <v>5006</v>
      </c>
      <c r="AY123" s="45">
        <v>5159</v>
      </c>
      <c r="AZ123" s="45">
        <v>5392</v>
      </c>
      <c r="BA123" s="37">
        <v>6053</v>
      </c>
      <c r="BB123" s="194">
        <v>13</v>
      </c>
      <c r="BC123" s="45">
        <v>6053</v>
      </c>
      <c r="BD123" s="82">
        <v>6393</v>
      </c>
      <c r="BE123" s="82">
        <v>6396</v>
      </c>
      <c r="BF123" s="82">
        <v>6444</v>
      </c>
      <c r="BG123" s="82">
        <v>6592</v>
      </c>
      <c r="BH123" s="82">
        <v>6601</v>
      </c>
      <c r="BI123" s="165">
        <f t="shared" si="496"/>
        <v>4351</v>
      </c>
      <c r="BJ123" s="100">
        <f t="shared" si="497"/>
        <v>4260</v>
      </c>
      <c r="BK123" s="100">
        <f t="shared" si="498"/>
        <v>4444</v>
      </c>
      <c r="BL123" s="100">
        <f t="shared" si="499"/>
        <v>4684</v>
      </c>
      <c r="BM123" s="100">
        <f t="shared" si="499"/>
        <v>4782</v>
      </c>
      <c r="BN123" s="100">
        <f t="shared" si="499"/>
        <v>-1519</v>
      </c>
      <c r="BO123" s="100">
        <f t="shared" si="499"/>
        <v>4652</v>
      </c>
      <c r="BP123" s="100">
        <f t="shared" si="500"/>
        <v>2681</v>
      </c>
      <c r="BQ123" s="100">
        <f t="shared" si="501"/>
        <v>2249</v>
      </c>
      <c r="BR123" s="100">
        <f t="shared" si="502"/>
        <v>2242</v>
      </c>
      <c r="BS123" s="100">
        <f t="shared" si="502"/>
        <v>2200</v>
      </c>
      <c r="BT123" s="200">
        <f t="shared" si="502"/>
        <v>1938</v>
      </c>
      <c r="BU123" s="220">
        <v>6853</v>
      </c>
      <c r="BV123" s="221">
        <v>7322</v>
      </c>
      <c r="BW123" s="221">
        <v>7328</v>
      </c>
      <c r="BX123" s="221">
        <v>7639</v>
      </c>
      <c r="BY123" s="221">
        <f>143+7760</f>
        <v>7903</v>
      </c>
      <c r="BZ123" s="194">
        <v>7931</v>
      </c>
      <c r="CA123" s="45">
        <v>8000</v>
      </c>
      <c r="CB123" s="82">
        <v>8023</v>
      </c>
      <c r="CC123" s="82">
        <v>8057</v>
      </c>
      <c r="CD123" s="82">
        <v>8065</v>
      </c>
      <c r="CE123" s="82">
        <v>8188</v>
      </c>
      <c r="CF123" s="215"/>
      <c r="CG123" s="165">
        <f t="shared" si="503"/>
        <v>2502</v>
      </c>
      <c r="CH123" s="100">
        <f t="shared" si="504"/>
        <v>3062</v>
      </c>
      <c r="CI123" s="100">
        <f t="shared" si="505"/>
        <v>2884</v>
      </c>
      <c r="CJ123" s="100">
        <f t="shared" si="506"/>
        <v>2955</v>
      </c>
      <c r="CK123" s="100">
        <f t="shared" si="507"/>
        <v>3121</v>
      </c>
      <c r="CL123" s="100">
        <f t="shared" si="508"/>
        <v>9450</v>
      </c>
      <c r="CM123" s="100">
        <f t="shared" si="509"/>
        <v>3348</v>
      </c>
      <c r="CN123" s="100">
        <f t="shared" si="510"/>
        <v>5342</v>
      </c>
      <c r="CO123" s="100">
        <f t="shared" si="511"/>
        <v>5808</v>
      </c>
      <c r="CP123" s="100">
        <f t="shared" si="512"/>
        <v>5823</v>
      </c>
      <c r="CQ123" s="100">
        <f t="shared" si="513"/>
        <v>5988</v>
      </c>
      <c r="CR123" s="200">
        <f t="shared" si="514"/>
        <v>-1938</v>
      </c>
    </row>
    <row r="124" spans="1:96" x14ac:dyDescent="0.25">
      <c r="A124" s="49"/>
      <c r="B124" s="96" t="s">
        <v>36</v>
      </c>
      <c r="C124" s="135">
        <v>0</v>
      </c>
      <c r="D124" s="45">
        <v>0</v>
      </c>
      <c r="E124" s="45">
        <v>0</v>
      </c>
      <c r="F124" s="45">
        <v>0</v>
      </c>
      <c r="G124" s="45">
        <v>0</v>
      </c>
      <c r="H124" s="45">
        <v>0</v>
      </c>
      <c r="I124" s="45">
        <v>0</v>
      </c>
      <c r="J124" s="45">
        <v>0</v>
      </c>
      <c r="K124" s="45">
        <v>0</v>
      </c>
      <c r="L124" s="136">
        <v>0</v>
      </c>
      <c r="M124" s="135">
        <v>0</v>
      </c>
      <c r="N124" s="45">
        <v>0</v>
      </c>
      <c r="O124" s="45">
        <v>0</v>
      </c>
      <c r="P124" s="45">
        <v>0</v>
      </c>
      <c r="Q124" s="45">
        <v>0</v>
      </c>
      <c r="R124" s="45">
        <v>0</v>
      </c>
      <c r="S124" s="45">
        <v>0</v>
      </c>
      <c r="T124" s="45">
        <v>0</v>
      </c>
      <c r="U124" s="45">
        <v>0</v>
      </c>
      <c r="V124" s="45">
        <v>0</v>
      </c>
      <c r="W124" s="45">
        <v>0</v>
      </c>
      <c r="X124" s="136">
        <v>0</v>
      </c>
      <c r="Y124" s="45">
        <v>0</v>
      </c>
      <c r="Z124" s="45">
        <v>0</v>
      </c>
      <c r="AA124" s="45">
        <v>0</v>
      </c>
      <c r="AB124" s="45">
        <v>0</v>
      </c>
      <c r="AC124" s="45"/>
      <c r="AD124" s="45"/>
      <c r="AE124" s="45">
        <v>0</v>
      </c>
      <c r="AF124" s="45">
        <v>0</v>
      </c>
      <c r="AG124" s="45">
        <v>0</v>
      </c>
      <c r="AH124" s="45">
        <v>0</v>
      </c>
      <c r="AI124" s="45">
        <v>0</v>
      </c>
      <c r="AJ124" s="45">
        <v>0</v>
      </c>
      <c r="AK124" s="135">
        <v>0</v>
      </c>
      <c r="AL124" s="45">
        <v>0</v>
      </c>
      <c r="AM124" s="45">
        <v>0</v>
      </c>
      <c r="AN124" s="45">
        <v>0</v>
      </c>
      <c r="AO124" s="45">
        <v>0</v>
      </c>
      <c r="AP124" s="45">
        <v>0</v>
      </c>
      <c r="AQ124" s="45">
        <v>0</v>
      </c>
      <c r="AR124" s="45">
        <v>0</v>
      </c>
      <c r="AS124" s="45">
        <v>0</v>
      </c>
      <c r="AT124" s="45">
        <v>0</v>
      </c>
      <c r="AU124" s="45">
        <v>0</v>
      </c>
      <c r="AV124" s="45">
        <v>0</v>
      </c>
      <c r="AW124" s="174">
        <v>0</v>
      </c>
      <c r="AX124" s="131">
        <v>0</v>
      </c>
      <c r="AY124" s="45">
        <v>0</v>
      </c>
      <c r="AZ124" s="45">
        <v>0</v>
      </c>
      <c r="BA124" s="45">
        <v>0</v>
      </c>
      <c r="BB124" s="194">
        <v>1</v>
      </c>
      <c r="BC124" s="45">
        <v>26</v>
      </c>
      <c r="BD124" s="82">
        <v>29</v>
      </c>
      <c r="BE124" s="82">
        <v>27</v>
      </c>
      <c r="BF124" s="82">
        <v>29</v>
      </c>
      <c r="BG124" s="82">
        <v>30</v>
      </c>
      <c r="BH124" s="82">
        <v>30</v>
      </c>
      <c r="BI124" s="165">
        <f t="shared" si="496"/>
        <v>0</v>
      </c>
      <c r="BJ124" s="100">
        <f t="shared" si="497"/>
        <v>0</v>
      </c>
      <c r="BK124" s="100">
        <f t="shared" si="498"/>
        <v>0</v>
      </c>
      <c r="BL124" s="100">
        <f t="shared" si="499"/>
        <v>0</v>
      </c>
      <c r="BM124" s="100">
        <f t="shared" si="499"/>
        <v>0</v>
      </c>
      <c r="BN124" s="100">
        <f t="shared" si="499"/>
        <v>1</v>
      </c>
      <c r="BO124" s="100">
        <f t="shared" si="499"/>
        <v>26</v>
      </c>
      <c r="BP124" s="100">
        <f t="shared" si="500"/>
        <v>29</v>
      </c>
      <c r="BQ124" s="100">
        <f t="shared" si="501"/>
        <v>27</v>
      </c>
      <c r="BR124" s="100">
        <f t="shared" si="502"/>
        <v>29</v>
      </c>
      <c r="BS124" s="100">
        <f t="shared" si="502"/>
        <v>30</v>
      </c>
      <c r="BT124" s="200">
        <f t="shared" si="502"/>
        <v>30</v>
      </c>
      <c r="BU124" s="220">
        <v>30</v>
      </c>
      <c r="BV124" s="221">
        <v>30</v>
      </c>
      <c r="BW124" s="221">
        <v>30</v>
      </c>
      <c r="BX124" s="221">
        <v>30</v>
      </c>
      <c r="BY124" s="221">
        <v>30</v>
      </c>
      <c r="BZ124" s="194">
        <v>30</v>
      </c>
      <c r="CA124" s="45">
        <v>30</v>
      </c>
      <c r="CB124" s="82">
        <v>30</v>
      </c>
      <c r="CC124" s="82">
        <v>30</v>
      </c>
      <c r="CD124" s="82">
        <v>30</v>
      </c>
      <c r="CE124" s="82">
        <v>30</v>
      </c>
      <c r="CF124" s="215"/>
      <c r="CG124" s="165">
        <f t="shared" si="503"/>
        <v>30</v>
      </c>
      <c r="CH124" s="100">
        <f t="shared" si="504"/>
        <v>30</v>
      </c>
      <c r="CI124" s="100">
        <f t="shared" si="505"/>
        <v>30</v>
      </c>
      <c r="CJ124" s="100">
        <f t="shared" si="506"/>
        <v>30</v>
      </c>
      <c r="CK124" s="100">
        <f t="shared" si="507"/>
        <v>30</v>
      </c>
      <c r="CL124" s="100">
        <f t="shared" si="508"/>
        <v>29</v>
      </c>
      <c r="CM124" s="100">
        <f t="shared" si="509"/>
        <v>4</v>
      </c>
      <c r="CN124" s="100">
        <f t="shared" si="510"/>
        <v>1</v>
      </c>
      <c r="CO124" s="100">
        <f t="shared" si="511"/>
        <v>3</v>
      </c>
      <c r="CP124" s="100">
        <f t="shared" si="512"/>
        <v>1</v>
      </c>
      <c r="CQ124" s="100">
        <f t="shared" si="513"/>
        <v>0</v>
      </c>
      <c r="CR124" s="200">
        <f t="shared" si="514"/>
        <v>-30</v>
      </c>
    </row>
    <row r="125" spans="1:96" x14ac:dyDescent="0.25">
      <c r="A125" s="49"/>
      <c r="B125" s="96" t="s">
        <v>37</v>
      </c>
      <c r="C125" s="135">
        <v>0</v>
      </c>
      <c r="D125" s="45">
        <v>0</v>
      </c>
      <c r="E125" s="45">
        <v>0</v>
      </c>
      <c r="F125" s="45">
        <v>0</v>
      </c>
      <c r="G125" s="45">
        <v>0</v>
      </c>
      <c r="H125" s="45">
        <v>0</v>
      </c>
      <c r="I125" s="45">
        <v>0</v>
      </c>
      <c r="J125" s="45">
        <v>0</v>
      </c>
      <c r="K125" s="45">
        <v>0</v>
      </c>
      <c r="L125" s="136">
        <v>0</v>
      </c>
      <c r="M125" s="135">
        <v>0</v>
      </c>
      <c r="N125" s="45">
        <v>0</v>
      </c>
      <c r="O125" s="45">
        <v>0</v>
      </c>
      <c r="P125" s="45">
        <v>0</v>
      </c>
      <c r="Q125" s="45">
        <v>0</v>
      </c>
      <c r="R125" s="45">
        <v>0</v>
      </c>
      <c r="S125" s="45">
        <v>0</v>
      </c>
      <c r="T125" s="45">
        <v>0</v>
      </c>
      <c r="U125" s="45">
        <v>0</v>
      </c>
      <c r="V125" s="45">
        <v>0</v>
      </c>
      <c r="W125" s="45">
        <v>0</v>
      </c>
      <c r="X125" s="136">
        <v>0</v>
      </c>
      <c r="Y125" s="45">
        <v>0</v>
      </c>
      <c r="Z125" s="45">
        <v>0</v>
      </c>
      <c r="AA125" s="45">
        <v>0</v>
      </c>
      <c r="AB125" s="45">
        <v>0</v>
      </c>
      <c r="AC125" s="45"/>
      <c r="AD125" s="45"/>
      <c r="AE125" s="45">
        <v>0</v>
      </c>
      <c r="AF125" s="45">
        <v>0</v>
      </c>
      <c r="AG125" s="45">
        <v>0</v>
      </c>
      <c r="AH125" s="45">
        <v>0</v>
      </c>
      <c r="AI125" s="45">
        <v>0</v>
      </c>
      <c r="AJ125" s="45">
        <v>0</v>
      </c>
      <c r="AK125" s="135">
        <v>0</v>
      </c>
      <c r="AL125" s="45">
        <v>0</v>
      </c>
      <c r="AM125" s="45">
        <v>0</v>
      </c>
      <c r="AN125" s="45">
        <v>0</v>
      </c>
      <c r="AO125" s="45">
        <v>0</v>
      </c>
      <c r="AP125" s="45">
        <v>0</v>
      </c>
      <c r="AQ125" s="45">
        <v>0</v>
      </c>
      <c r="AR125" s="45">
        <v>0</v>
      </c>
      <c r="AS125" s="45">
        <v>0</v>
      </c>
      <c r="AT125" s="45">
        <v>0</v>
      </c>
      <c r="AU125" s="45">
        <v>0</v>
      </c>
      <c r="AV125" s="45">
        <v>0</v>
      </c>
      <c r="AW125" s="175">
        <v>0</v>
      </c>
      <c r="AX125" s="82">
        <v>0</v>
      </c>
      <c r="AY125" s="45">
        <v>0</v>
      </c>
      <c r="AZ125" s="45">
        <v>0</v>
      </c>
      <c r="BA125" s="45">
        <v>0</v>
      </c>
      <c r="BB125" s="45">
        <v>0</v>
      </c>
      <c r="BC125" s="45">
        <v>0</v>
      </c>
      <c r="BD125" s="82">
        <v>1</v>
      </c>
      <c r="BE125" s="82">
        <v>1</v>
      </c>
      <c r="BF125" s="82">
        <v>1</v>
      </c>
      <c r="BG125" s="82">
        <v>1</v>
      </c>
      <c r="BH125" s="82">
        <v>1</v>
      </c>
      <c r="BI125" s="165">
        <f t="shared" si="496"/>
        <v>0</v>
      </c>
      <c r="BJ125" s="100">
        <f t="shared" si="497"/>
        <v>0</v>
      </c>
      <c r="BK125" s="100">
        <f t="shared" si="498"/>
        <v>0</v>
      </c>
      <c r="BL125" s="100">
        <f t="shared" si="499"/>
        <v>0</v>
      </c>
      <c r="BM125" s="100">
        <f t="shared" si="499"/>
        <v>0</v>
      </c>
      <c r="BN125" s="100">
        <f t="shared" si="499"/>
        <v>0</v>
      </c>
      <c r="BO125" s="100">
        <f t="shared" si="499"/>
        <v>0</v>
      </c>
      <c r="BP125" s="100">
        <f t="shared" si="500"/>
        <v>1</v>
      </c>
      <c r="BQ125" s="100">
        <f t="shared" si="501"/>
        <v>1</v>
      </c>
      <c r="BR125" s="100">
        <f t="shared" si="502"/>
        <v>1</v>
      </c>
      <c r="BS125" s="100">
        <f t="shared" si="502"/>
        <v>1</v>
      </c>
      <c r="BT125" s="200">
        <f t="shared" si="502"/>
        <v>1</v>
      </c>
      <c r="BU125" s="222">
        <v>1</v>
      </c>
      <c r="BV125" s="223">
        <v>1</v>
      </c>
      <c r="BW125" s="223">
        <v>1</v>
      </c>
      <c r="BX125" s="223">
        <v>1</v>
      </c>
      <c r="BY125" s="223">
        <v>1</v>
      </c>
      <c r="BZ125" s="45">
        <v>1</v>
      </c>
      <c r="CA125" s="45">
        <v>1</v>
      </c>
      <c r="CB125" s="82">
        <v>1</v>
      </c>
      <c r="CC125" s="82">
        <v>1</v>
      </c>
      <c r="CD125" s="82">
        <v>1</v>
      </c>
      <c r="CE125" s="82">
        <v>1</v>
      </c>
      <c r="CF125" s="215"/>
      <c r="CG125" s="165">
        <f t="shared" si="503"/>
        <v>1</v>
      </c>
      <c r="CH125" s="100">
        <f t="shared" si="504"/>
        <v>1</v>
      </c>
      <c r="CI125" s="100">
        <f t="shared" si="505"/>
        <v>1</v>
      </c>
      <c r="CJ125" s="100">
        <f t="shared" si="506"/>
        <v>1</v>
      </c>
      <c r="CK125" s="100">
        <f t="shared" si="507"/>
        <v>1</v>
      </c>
      <c r="CL125" s="100">
        <f t="shared" si="508"/>
        <v>1</v>
      </c>
      <c r="CM125" s="100">
        <f t="shared" si="509"/>
        <v>1</v>
      </c>
      <c r="CN125" s="100">
        <f t="shared" si="510"/>
        <v>0</v>
      </c>
      <c r="CO125" s="100">
        <f t="shared" si="511"/>
        <v>0</v>
      </c>
      <c r="CP125" s="100">
        <f t="shared" si="512"/>
        <v>0</v>
      </c>
      <c r="CQ125" s="100">
        <f t="shared" si="513"/>
        <v>0</v>
      </c>
      <c r="CR125" s="200">
        <f t="shared" si="514"/>
        <v>-1</v>
      </c>
    </row>
    <row r="126" spans="1:96" x14ac:dyDescent="0.25">
      <c r="A126" s="49"/>
      <c r="B126" s="96" t="s">
        <v>38</v>
      </c>
      <c r="C126" s="135">
        <v>0</v>
      </c>
      <c r="D126" s="45">
        <v>0</v>
      </c>
      <c r="E126" s="45">
        <v>0</v>
      </c>
      <c r="F126" s="45">
        <v>0</v>
      </c>
      <c r="G126" s="45">
        <v>0</v>
      </c>
      <c r="H126" s="45">
        <v>0</v>
      </c>
      <c r="I126" s="45">
        <v>0</v>
      </c>
      <c r="J126" s="45">
        <v>0</v>
      </c>
      <c r="K126" s="45">
        <v>0</v>
      </c>
      <c r="L126" s="136">
        <v>0</v>
      </c>
      <c r="M126" s="135">
        <v>0</v>
      </c>
      <c r="N126" s="45">
        <v>0</v>
      </c>
      <c r="O126" s="45">
        <v>0</v>
      </c>
      <c r="P126" s="45">
        <v>0</v>
      </c>
      <c r="Q126" s="45">
        <v>0</v>
      </c>
      <c r="R126" s="45">
        <v>0</v>
      </c>
      <c r="S126" s="45">
        <v>0</v>
      </c>
      <c r="T126" s="45">
        <v>0</v>
      </c>
      <c r="U126" s="45">
        <v>0</v>
      </c>
      <c r="V126" s="45">
        <v>0</v>
      </c>
      <c r="W126" s="45">
        <v>0</v>
      </c>
      <c r="X126" s="136">
        <v>0</v>
      </c>
      <c r="Y126" s="45">
        <v>0</v>
      </c>
      <c r="Z126" s="45">
        <v>0</v>
      </c>
      <c r="AA126" s="45">
        <v>0</v>
      </c>
      <c r="AB126" s="45">
        <v>0</v>
      </c>
      <c r="AC126" s="45"/>
      <c r="AD126" s="45"/>
      <c r="AE126" s="45">
        <v>0</v>
      </c>
      <c r="AF126" s="45">
        <v>0</v>
      </c>
      <c r="AG126" s="45">
        <v>0</v>
      </c>
      <c r="AH126" s="45">
        <v>0</v>
      </c>
      <c r="AI126" s="45">
        <v>0</v>
      </c>
      <c r="AJ126" s="45">
        <v>0</v>
      </c>
      <c r="AK126" s="135">
        <v>0</v>
      </c>
      <c r="AL126" s="45">
        <v>0</v>
      </c>
      <c r="AM126" s="45">
        <v>0</v>
      </c>
      <c r="AN126" s="45">
        <v>0</v>
      </c>
      <c r="AO126" s="45">
        <v>0</v>
      </c>
      <c r="AP126" s="45">
        <v>0</v>
      </c>
      <c r="AQ126" s="45">
        <v>0</v>
      </c>
      <c r="AR126" s="45">
        <v>0</v>
      </c>
      <c r="AS126" s="45">
        <v>0</v>
      </c>
      <c r="AT126" s="45">
        <v>0</v>
      </c>
      <c r="AU126" s="45">
        <v>0</v>
      </c>
      <c r="AV126" s="45">
        <v>0</v>
      </c>
      <c r="AW126" s="174">
        <v>0</v>
      </c>
      <c r="AX126" s="131">
        <v>0</v>
      </c>
      <c r="AY126" s="45">
        <v>0</v>
      </c>
      <c r="AZ126" s="45">
        <v>0</v>
      </c>
      <c r="BA126" s="45">
        <v>0</v>
      </c>
      <c r="BB126" s="45">
        <v>0</v>
      </c>
      <c r="BC126" s="45">
        <v>0</v>
      </c>
      <c r="BD126" s="82">
        <v>0</v>
      </c>
      <c r="BE126" s="82">
        <v>0</v>
      </c>
      <c r="BF126" s="82">
        <v>0</v>
      </c>
      <c r="BG126" s="82">
        <v>0</v>
      </c>
      <c r="BH126" s="82">
        <v>0</v>
      </c>
      <c r="BI126" s="165">
        <f t="shared" si="496"/>
        <v>0</v>
      </c>
      <c r="BJ126" s="100">
        <f t="shared" si="497"/>
        <v>0</v>
      </c>
      <c r="BK126" s="100">
        <f t="shared" si="498"/>
        <v>0</v>
      </c>
      <c r="BL126" s="100">
        <f t="shared" si="499"/>
        <v>0</v>
      </c>
      <c r="BM126" s="100">
        <f t="shared" si="499"/>
        <v>0</v>
      </c>
      <c r="BN126" s="100">
        <f t="shared" si="499"/>
        <v>0</v>
      </c>
      <c r="BO126" s="100">
        <f t="shared" si="499"/>
        <v>0</v>
      </c>
      <c r="BP126" s="100">
        <f t="shared" si="500"/>
        <v>0</v>
      </c>
      <c r="BQ126" s="100">
        <f t="shared" si="501"/>
        <v>0</v>
      </c>
      <c r="BR126" s="100">
        <f t="shared" si="502"/>
        <v>0</v>
      </c>
      <c r="BS126" s="100">
        <f t="shared" si="502"/>
        <v>0</v>
      </c>
      <c r="BT126" s="200">
        <f t="shared" si="502"/>
        <v>0</v>
      </c>
      <c r="BU126" s="220">
        <v>0</v>
      </c>
      <c r="BV126" s="221">
        <v>0</v>
      </c>
      <c r="BW126" s="221">
        <v>0</v>
      </c>
      <c r="BX126" s="221">
        <v>0</v>
      </c>
      <c r="BY126" s="221">
        <v>0</v>
      </c>
      <c r="BZ126" s="45">
        <v>0</v>
      </c>
      <c r="CA126" s="45">
        <v>0</v>
      </c>
      <c r="CB126" s="45">
        <v>0</v>
      </c>
      <c r="CC126" s="82">
        <v>0</v>
      </c>
      <c r="CD126" s="82">
        <v>0</v>
      </c>
      <c r="CE126" s="82">
        <v>0</v>
      </c>
      <c r="CF126" s="215"/>
      <c r="CG126" s="165">
        <f t="shared" si="503"/>
        <v>0</v>
      </c>
      <c r="CH126" s="100">
        <f t="shared" si="504"/>
        <v>0</v>
      </c>
      <c r="CI126" s="100">
        <f t="shared" si="505"/>
        <v>0</v>
      </c>
      <c r="CJ126" s="100">
        <f t="shared" si="506"/>
        <v>0</v>
      </c>
      <c r="CK126" s="100">
        <f t="shared" si="507"/>
        <v>0</v>
      </c>
      <c r="CL126" s="100">
        <f t="shared" si="508"/>
        <v>0</v>
      </c>
      <c r="CM126" s="100">
        <f t="shared" si="509"/>
        <v>0</v>
      </c>
      <c r="CN126" s="100">
        <f t="shared" si="510"/>
        <v>0</v>
      </c>
      <c r="CO126" s="100">
        <f t="shared" si="511"/>
        <v>0</v>
      </c>
      <c r="CP126" s="100">
        <f t="shared" si="512"/>
        <v>0</v>
      </c>
      <c r="CQ126" s="100">
        <f t="shared" si="513"/>
        <v>0</v>
      </c>
      <c r="CR126" s="200">
        <f t="shared" si="514"/>
        <v>0</v>
      </c>
    </row>
    <row r="127" spans="1:96" x14ac:dyDescent="0.25">
      <c r="A127" s="49"/>
      <c r="B127" s="96" t="s">
        <v>39</v>
      </c>
      <c r="C127" s="135">
        <f t="shared" ref="C127:AC127" si="515">SUM(C122:C126)</f>
        <v>97</v>
      </c>
      <c r="D127" s="45">
        <f t="shared" si="515"/>
        <v>113</v>
      </c>
      <c r="E127" s="45">
        <f t="shared" si="515"/>
        <v>132</v>
      </c>
      <c r="F127" s="45">
        <f t="shared" si="515"/>
        <v>139</v>
      </c>
      <c r="G127" s="45">
        <f t="shared" si="515"/>
        <v>117</v>
      </c>
      <c r="H127" s="45">
        <f t="shared" si="515"/>
        <v>119</v>
      </c>
      <c r="I127" s="45">
        <f t="shared" si="515"/>
        <v>106</v>
      </c>
      <c r="J127" s="45">
        <f t="shared" si="515"/>
        <v>110</v>
      </c>
      <c r="K127" s="45">
        <f t="shared" si="515"/>
        <v>95</v>
      </c>
      <c r="L127" s="136">
        <f t="shared" si="515"/>
        <v>80</v>
      </c>
      <c r="M127" s="135">
        <f t="shared" si="515"/>
        <v>73</v>
      </c>
      <c r="N127" s="45">
        <f t="shared" si="515"/>
        <v>61</v>
      </c>
      <c r="O127" s="45">
        <f t="shared" si="515"/>
        <v>63</v>
      </c>
      <c r="P127" s="45">
        <f t="shared" si="515"/>
        <v>84</v>
      </c>
      <c r="Q127" s="45">
        <f t="shared" si="515"/>
        <v>86</v>
      </c>
      <c r="R127" s="45">
        <f t="shared" si="515"/>
        <v>818</v>
      </c>
      <c r="S127" s="45">
        <f t="shared" si="515"/>
        <v>1269</v>
      </c>
      <c r="T127" s="45">
        <f t="shared" si="515"/>
        <v>1066</v>
      </c>
      <c r="U127" s="45">
        <f t="shared" si="515"/>
        <v>697</v>
      </c>
      <c r="V127" s="45">
        <f t="shared" si="515"/>
        <v>808</v>
      </c>
      <c r="W127" s="45">
        <f t="shared" si="515"/>
        <v>721</v>
      </c>
      <c r="X127" s="136">
        <f t="shared" si="515"/>
        <v>571</v>
      </c>
      <c r="Y127" s="45">
        <f t="shared" si="515"/>
        <v>462</v>
      </c>
      <c r="Z127" s="45">
        <f t="shared" si="515"/>
        <v>526</v>
      </c>
      <c r="AA127" s="45">
        <f t="shared" si="515"/>
        <v>471</v>
      </c>
      <c r="AB127" s="45">
        <f t="shared" si="515"/>
        <v>392</v>
      </c>
      <c r="AC127" s="45">
        <f t="shared" si="515"/>
        <v>187</v>
      </c>
      <c r="AD127" s="45">
        <f t="shared" ref="AD127:AI127" si="516">SUM(AD122:AD126)</f>
        <v>1014</v>
      </c>
      <c r="AE127" s="45">
        <f t="shared" si="516"/>
        <v>1190</v>
      </c>
      <c r="AF127" s="45">
        <f t="shared" si="516"/>
        <v>1281</v>
      </c>
      <c r="AG127" s="45">
        <f t="shared" si="516"/>
        <v>1055</v>
      </c>
      <c r="AH127" s="45">
        <f t="shared" si="516"/>
        <v>805</v>
      </c>
      <c r="AI127" s="45">
        <f t="shared" si="516"/>
        <v>687</v>
      </c>
      <c r="AJ127" s="45">
        <f>SUM(AJ122:AJ126)</f>
        <v>465</v>
      </c>
      <c r="AK127" s="135">
        <f>SUM(AK122:AK126)</f>
        <v>334</v>
      </c>
      <c r="AL127" s="45">
        <f>SUM(AL122:AL126)</f>
        <v>758</v>
      </c>
      <c r="AM127" s="45">
        <f>SUM(AM122:AM126)</f>
        <v>732</v>
      </c>
      <c r="AN127" s="45">
        <f>SUM(AN122:AN126)</f>
        <v>727</v>
      </c>
      <c r="AO127" s="45">
        <f t="shared" ref="AO127:AT127" si="517">SUM(AO122:AO126)</f>
        <v>1293</v>
      </c>
      <c r="AP127" s="45">
        <f t="shared" si="517"/>
        <v>1558</v>
      </c>
      <c r="AQ127" s="45">
        <f t="shared" si="517"/>
        <v>1417</v>
      </c>
      <c r="AR127" s="45">
        <f t="shared" si="517"/>
        <v>3750</v>
      </c>
      <c r="AS127" s="45">
        <f t="shared" si="517"/>
        <v>6187</v>
      </c>
      <c r="AT127" s="45">
        <f t="shared" si="517"/>
        <v>6306</v>
      </c>
      <c r="AU127" s="45">
        <f t="shared" ref="AU127:BB127" si="518">SUM(AU122:AU126)</f>
        <v>6522</v>
      </c>
      <c r="AV127" s="45">
        <f t="shared" si="518"/>
        <v>6862</v>
      </c>
      <c r="AW127" s="135">
        <f t="shared" si="518"/>
        <v>6928</v>
      </c>
      <c r="AX127" s="45">
        <f t="shared" si="518"/>
        <v>7273</v>
      </c>
      <c r="AY127" s="45">
        <f t="shared" si="518"/>
        <v>7448</v>
      </c>
      <c r="AZ127" s="45">
        <f t="shared" si="518"/>
        <v>7689</v>
      </c>
      <c r="BA127" s="45">
        <f t="shared" si="518"/>
        <v>8363</v>
      </c>
      <c r="BB127" s="45">
        <f t="shared" si="518"/>
        <v>112</v>
      </c>
      <c r="BC127" s="197">
        <f t="shared" ref="BC127:BH127" si="519">SUM(BC122:BC126)</f>
        <v>8401</v>
      </c>
      <c r="BD127" s="197">
        <f t="shared" si="519"/>
        <v>8760</v>
      </c>
      <c r="BE127" s="197">
        <f t="shared" si="519"/>
        <v>8768</v>
      </c>
      <c r="BF127" s="197">
        <f t="shared" si="519"/>
        <v>8849</v>
      </c>
      <c r="BG127" s="197">
        <f t="shared" si="519"/>
        <v>9020</v>
      </c>
      <c r="BH127" s="197">
        <f t="shared" si="519"/>
        <v>9049</v>
      </c>
      <c r="BI127" s="165">
        <f t="shared" si="496"/>
        <v>6594</v>
      </c>
      <c r="BJ127" s="100">
        <f t="shared" si="497"/>
        <v>6515</v>
      </c>
      <c r="BK127" s="100">
        <f t="shared" si="498"/>
        <v>6716</v>
      </c>
      <c r="BL127" s="100">
        <f t="shared" si="499"/>
        <v>6962</v>
      </c>
      <c r="BM127" s="100">
        <f t="shared" si="499"/>
        <v>7070</v>
      </c>
      <c r="BN127" s="100">
        <f t="shared" si="499"/>
        <v>-1446</v>
      </c>
      <c r="BO127" s="100">
        <f t="shared" si="499"/>
        <v>6984</v>
      </c>
      <c r="BP127" s="100">
        <f t="shared" si="500"/>
        <v>5010</v>
      </c>
      <c r="BQ127" s="100">
        <f t="shared" si="501"/>
        <v>2581</v>
      </c>
      <c r="BR127" s="100">
        <f t="shared" si="502"/>
        <v>2543</v>
      </c>
      <c r="BS127" s="100">
        <f t="shared" si="502"/>
        <v>2498</v>
      </c>
      <c r="BT127" s="200">
        <f t="shared" si="502"/>
        <v>2187</v>
      </c>
      <c r="BU127" s="135">
        <f t="shared" ref="BU127:CF127" si="520">SUM(BU122:BU126)</f>
        <v>9327</v>
      </c>
      <c r="BV127" s="45">
        <f t="shared" si="520"/>
        <v>9810</v>
      </c>
      <c r="BW127" s="45">
        <f t="shared" si="520"/>
        <v>9836</v>
      </c>
      <c r="BX127" s="45">
        <f t="shared" si="520"/>
        <v>10159</v>
      </c>
      <c r="BY127" s="45">
        <f t="shared" si="520"/>
        <v>18356</v>
      </c>
      <c r="BZ127" s="45">
        <v>18419</v>
      </c>
      <c r="CA127" s="197">
        <f t="shared" si="520"/>
        <v>18567</v>
      </c>
      <c r="CB127" s="197">
        <f t="shared" si="520"/>
        <v>18634</v>
      </c>
      <c r="CC127" s="197">
        <f t="shared" si="520"/>
        <v>18710</v>
      </c>
      <c r="CD127" s="197">
        <f t="shared" si="520"/>
        <v>18746</v>
      </c>
      <c r="CE127" s="197">
        <f t="shared" si="520"/>
        <v>19001</v>
      </c>
      <c r="CF127" s="216">
        <f t="shared" si="520"/>
        <v>0</v>
      </c>
      <c r="CG127" s="165">
        <f t="shared" si="503"/>
        <v>2733</v>
      </c>
      <c r="CH127" s="100">
        <f t="shared" si="504"/>
        <v>3295</v>
      </c>
      <c r="CI127" s="100">
        <f t="shared" si="505"/>
        <v>3120</v>
      </c>
      <c r="CJ127" s="100">
        <f t="shared" si="506"/>
        <v>3197</v>
      </c>
      <c r="CK127" s="100">
        <f t="shared" si="507"/>
        <v>11286</v>
      </c>
      <c r="CL127" s="100">
        <f t="shared" si="508"/>
        <v>19865</v>
      </c>
      <c r="CM127" s="100">
        <f t="shared" si="509"/>
        <v>11583</v>
      </c>
      <c r="CN127" s="100">
        <f t="shared" si="510"/>
        <v>13624</v>
      </c>
      <c r="CO127" s="100">
        <f t="shared" si="511"/>
        <v>16129</v>
      </c>
      <c r="CP127" s="100">
        <f t="shared" si="512"/>
        <v>16203</v>
      </c>
      <c r="CQ127" s="100">
        <f t="shared" si="513"/>
        <v>16503</v>
      </c>
      <c r="CR127" s="200">
        <f t="shared" si="514"/>
        <v>-2187</v>
      </c>
    </row>
    <row r="128" spans="1:96" x14ac:dyDescent="0.25">
      <c r="A128" s="49">
        <f>+A121+1</f>
        <v>18</v>
      </c>
      <c r="B128" s="122" t="s">
        <v>24</v>
      </c>
      <c r="C128" s="143"/>
      <c r="D128" s="43"/>
      <c r="E128" s="43"/>
      <c r="F128" s="43"/>
      <c r="G128" s="43"/>
      <c r="H128" s="43"/>
      <c r="I128" s="43"/>
      <c r="J128" s="43"/>
      <c r="K128" s="43"/>
      <c r="L128" s="75"/>
      <c r="M128" s="143"/>
      <c r="N128" s="43"/>
      <c r="O128" s="43"/>
      <c r="P128" s="43"/>
      <c r="Q128" s="43"/>
      <c r="R128" s="43"/>
      <c r="S128" s="43"/>
      <c r="T128" s="43"/>
      <c r="U128" s="43"/>
      <c r="V128" s="43"/>
      <c r="W128" s="43"/>
      <c r="X128" s="75"/>
      <c r="Y128" s="43"/>
      <c r="Z128" s="43"/>
      <c r="AA128" s="43"/>
      <c r="AB128" s="43"/>
      <c r="AC128" s="43"/>
      <c r="AD128" s="43"/>
      <c r="AE128" s="43"/>
      <c r="AF128" s="43"/>
      <c r="AG128" s="43"/>
      <c r="AH128" s="43"/>
      <c r="AI128" s="43"/>
      <c r="AJ128" s="43"/>
      <c r="AK128" s="143"/>
      <c r="AL128" s="43"/>
      <c r="AM128" s="43"/>
      <c r="AN128" s="43"/>
      <c r="AO128" s="43"/>
      <c r="AP128" s="43"/>
      <c r="AQ128" s="43"/>
      <c r="AR128" s="43"/>
      <c r="AS128" s="43"/>
      <c r="AT128" s="43"/>
      <c r="AU128" s="43"/>
      <c r="AV128" s="43"/>
      <c r="AW128" s="170"/>
      <c r="AX128" s="44"/>
      <c r="AY128" s="45"/>
      <c r="AZ128" s="45"/>
      <c r="BA128" s="44"/>
      <c r="BB128" s="44"/>
      <c r="BC128" s="44"/>
      <c r="BD128" s="131"/>
      <c r="BE128" s="131"/>
      <c r="BF128" s="131"/>
      <c r="BG128" s="44"/>
      <c r="BH128" s="97"/>
      <c r="BI128" s="170"/>
      <c r="BJ128" s="44"/>
      <c r="BK128" s="45"/>
      <c r="BL128" s="45"/>
      <c r="BM128" s="45"/>
      <c r="BN128" s="45"/>
      <c r="BO128" s="45"/>
      <c r="BP128" s="45"/>
      <c r="BQ128" s="45"/>
      <c r="BR128" s="45"/>
      <c r="BS128" s="45"/>
      <c r="BT128" s="136"/>
      <c r="BU128" s="170"/>
      <c r="BV128" s="44"/>
      <c r="BW128" s="44"/>
      <c r="BX128" s="44"/>
      <c r="BY128" s="44"/>
      <c r="BZ128" s="44"/>
      <c r="CA128" s="44"/>
      <c r="CB128" s="131"/>
      <c r="CC128" s="131"/>
      <c r="CD128" s="131"/>
      <c r="CE128" s="44"/>
      <c r="CF128" s="97"/>
      <c r="CG128" s="170"/>
      <c r="CH128" s="44"/>
      <c r="CI128" s="45"/>
      <c r="CJ128" s="45"/>
      <c r="CK128" s="45"/>
      <c r="CL128" s="45"/>
      <c r="CM128" s="45"/>
      <c r="CN128" s="45"/>
      <c r="CO128" s="45"/>
      <c r="CP128" s="45"/>
      <c r="CQ128" s="45"/>
      <c r="CR128" s="136"/>
    </row>
    <row r="129" spans="1:96" x14ac:dyDescent="0.25">
      <c r="A129" s="49"/>
      <c r="B129" s="96" t="s">
        <v>34</v>
      </c>
      <c r="C129" s="144">
        <v>21</v>
      </c>
      <c r="D129" s="68">
        <v>584</v>
      </c>
      <c r="E129" s="68">
        <v>657</v>
      </c>
      <c r="F129" s="68">
        <v>312</v>
      </c>
      <c r="G129" s="68">
        <v>164</v>
      </c>
      <c r="H129" s="68">
        <v>342</v>
      </c>
      <c r="I129" s="68">
        <v>213</v>
      </c>
      <c r="J129" s="68">
        <v>171</v>
      </c>
      <c r="K129" s="68">
        <v>39</v>
      </c>
      <c r="L129" s="74">
        <v>8</v>
      </c>
      <c r="M129" s="144">
        <v>4</v>
      </c>
      <c r="N129" s="68">
        <v>4</v>
      </c>
      <c r="O129" s="68">
        <v>1</v>
      </c>
      <c r="P129" s="68">
        <v>0</v>
      </c>
      <c r="Q129" s="68">
        <v>0</v>
      </c>
      <c r="R129" s="68">
        <v>0</v>
      </c>
      <c r="S129" s="68">
        <v>0</v>
      </c>
      <c r="T129" s="68">
        <v>0</v>
      </c>
      <c r="U129" s="68">
        <v>0</v>
      </c>
      <c r="V129" s="68">
        <v>0</v>
      </c>
      <c r="W129" s="68">
        <v>0</v>
      </c>
      <c r="X129" s="74">
        <v>0</v>
      </c>
      <c r="Y129" s="68">
        <v>0</v>
      </c>
      <c r="Z129" s="68">
        <v>0</v>
      </c>
      <c r="AA129" s="68">
        <v>0</v>
      </c>
      <c r="AB129" s="68">
        <v>0</v>
      </c>
      <c r="AC129" s="68">
        <v>0</v>
      </c>
      <c r="AD129" s="68">
        <v>0</v>
      </c>
      <c r="AE129" s="68">
        <v>0</v>
      </c>
      <c r="AF129" s="68">
        <v>27</v>
      </c>
      <c r="AG129" s="68">
        <v>550</v>
      </c>
      <c r="AH129" s="68">
        <v>197</v>
      </c>
      <c r="AI129" s="68">
        <v>21</v>
      </c>
      <c r="AJ129" s="68">
        <v>0</v>
      </c>
      <c r="AK129" s="144">
        <v>0</v>
      </c>
      <c r="AL129" s="68">
        <v>0</v>
      </c>
      <c r="AM129" s="68">
        <v>0</v>
      </c>
      <c r="AN129" s="68">
        <v>42</v>
      </c>
      <c r="AO129" s="68">
        <v>414</v>
      </c>
      <c r="AP129" s="68">
        <v>288</v>
      </c>
      <c r="AQ129" s="68">
        <v>347</v>
      </c>
      <c r="AR129" s="68">
        <v>280</v>
      </c>
      <c r="AS129" s="68">
        <v>96</v>
      </c>
      <c r="AT129" s="68">
        <v>304</v>
      </c>
      <c r="AU129" s="68">
        <v>194</v>
      </c>
      <c r="AV129" s="68">
        <v>0</v>
      </c>
      <c r="AW129" s="143">
        <v>0</v>
      </c>
      <c r="AX129" s="43">
        <v>0</v>
      </c>
      <c r="AY129" s="45">
        <v>0</v>
      </c>
      <c r="AZ129" s="45">
        <v>2</v>
      </c>
      <c r="BA129" s="36">
        <v>57</v>
      </c>
      <c r="BB129" s="36">
        <v>322</v>
      </c>
      <c r="BC129" s="43">
        <v>557</v>
      </c>
      <c r="BD129" s="82">
        <v>231</v>
      </c>
      <c r="BE129" s="82">
        <v>201</v>
      </c>
      <c r="BF129" s="82">
        <v>641</v>
      </c>
      <c r="BG129" s="82">
        <v>1</v>
      </c>
      <c r="BH129" s="82">
        <v>0</v>
      </c>
      <c r="BI129" s="165">
        <f t="shared" ref="BI129:BI134" si="521">AW129-AK129</f>
        <v>0</v>
      </c>
      <c r="BJ129" s="100">
        <f t="shared" ref="BJ129:BJ134" si="522">AX129-AL129</f>
        <v>0</v>
      </c>
      <c r="BK129" s="100">
        <f t="shared" ref="BK129:BK134" si="523">AY129-AM129</f>
        <v>0</v>
      </c>
      <c r="BL129" s="100">
        <f t="shared" ref="BL129:BO134" si="524">AZ129-AN129</f>
        <v>-40</v>
      </c>
      <c r="BM129" s="100">
        <f t="shared" si="524"/>
        <v>-357</v>
      </c>
      <c r="BN129" s="100">
        <f t="shared" si="524"/>
        <v>34</v>
      </c>
      <c r="BO129" s="100">
        <f t="shared" si="524"/>
        <v>210</v>
      </c>
      <c r="BP129" s="100">
        <f t="shared" ref="BP129:BP134" si="525">BD129-AR129</f>
        <v>-49</v>
      </c>
      <c r="BQ129" s="100">
        <f t="shared" ref="BQ129:BQ134" si="526">BE129-AS129</f>
        <v>105</v>
      </c>
      <c r="BR129" s="100">
        <f t="shared" ref="BR129:BT134" si="527">BF129-AT129</f>
        <v>337</v>
      </c>
      <c r="BS129" s="100">
        <f t="shared" si="527"/>
        <v>-193</v>
      </c>
      <c r="BT129" s="200">
        <f t="shared" si="527"/>
        <v>0</v>
      </c>
      <c r="BU129" s="145">
        <v>0</v>
      </c>
      <c r="BV129" s="70">
        <v>0</v>
      </c>
      <c r="BW129" s="70">
        <v>1</v>
      </c>
      <c r="BX129" s="70">
        <v>979</v>
      </c>
      <c r="BY129" s="70">
        <v>1031</v>
      </c>
      <c r="BZ129" s="224">
        <v>1772</v>
      </c>
      <c r="CA129" s="43">
        <v>1110</v>
      </c>
      <c r="CB129" s="82">
        <v>1167</v>
      </c>
      <c r="CC129" s="82">
        <v>526</v>
      </c>
      <c r="CD129" s="82">
        <v>688</v>
      </c>
      <c r="CE129" s="82">
        <v>528</v>
      </c>
      <c r="CF129" s="215"/>
      <c r="CG129" s="165">
        <f t="shared" ref="CG129:CG134" si="528">BU129-BI129</f>
        <v>0</v>
      </c>
      <c r="CH129" s="100">
        <f t="shared" ref="CH129:CH134" si="529">BV129-BJ129</f>
        <v>0</v>
      </c>
      <c r="CI129" s="100">
        <f t="shared" ref="CI129:CI134" si="530">BW129-BK129</f>
        <v>1</v>
      </c>
      <c r="CJ129" s="100">
        <f t="shared" ref="CJ129:CJ134" si="531">BX129-BL129</f>
        <v>1019</v>
      </c>
      <c r="CK129" s="100">
        <f t="shared" ref="CK129:CK134" si="532">BY129-BM129</f>
        <v>1388</v>
      </c>
      <c r="CL129" s="100">
        <f t="shared" ref="CL129:CL134" si="533">BZ129-BN129</f>
        <v>1738</v>
      </c>
      <c r="CM129" s="100">
        <f t="shared" ref="CM129:CM134" si="534">CA129-BO129</f>
        <v>900</v>
      </c>
      <c r="CN129" s="100">
        <f t="shared" ref="CN129:CN134" si="535">CB129-BP129</f>
        <v>1216</v>
      </c>
      <c r="CO129" s="100">
        <f t="shared" ref="CO129:CO134" si="536">CC129-BQ129</f>
        <v>421</v>
      </c>
      <c r="CP129" s="100">
        <f t="shared" ref="CP129:CP134" si="537">CD129-BR129</f>
        <v>351</v>
      </c>
      <c r="CQ129" s="100">
        <f t="shared" ref="CQ129:CQ134" si="538">CE129-BS129</f>
        <v>721</v>
      </c>
      <c r="CR129" s="200">
        <f t="shared" ref="CR129:CR134" si="539">CF129-BT129</f>
        <v>0</v>
      </c>
    </row>
    <row r="130" spans="1:96" x14ac:dyDescent="0.25">
      <c r="A130" s="49"/>
      <c r="B130" s="96" t="s">
        <v>35</v>
      </c>
      <c r="C130" s="144">
        <v>0</v>
      </c>
      <c r="D130" s="68">
        <v>0</v>
      </c>
      <c r="E130" s="68">
        <v>84</v>
      </c>
      <c r="F130" s="68">
        <v>83</v>
      </c>
      <c r="G130" s="68">
        <v>66</v>
      </c>
      <c r="H130" s="68">
        <v>125</v>
      </c>
      <c r="I130" s="68">
        <v>114</v>
      </c>
      <c r="J130" s="68">
        <v>80</v>
      </c>
      <c r="K130" s="68">
        <v>22</v>
      </c>
      <c r="L130" s="74">
        <v>0</v>
      </c>
      <c r="M130" s="144">
        <v>0</v>
      </c>
      <c r="N130" s="68">
        <v>0</v>
      </c>
      <c r="O130" s="68">
        <v>0</v>
      </c>
      <c r="P130" s="68">
        <v>0</v>
      </c>
      <c r="Q130" s="68">
        <v>0</v>
      </c>
      <c r="R130" s="68">
        <v>0</v>
      </c>
      <c r="S130" s="68">
        <v>0</v>
      </c>
      <c r="T130" s="68">
        <v>0</v>
      </c>
      <c r="U130" s="68">
        <v>0</v>
      </c>
      <c r="V130" s="68">
        <v>0</v>
      </c>
      <c r="W130" s="68">
        <v>0</v>
      </c>
      <c r="X130" s="74">
        <v>0</v>
      </c>
      <c r="Y130" s="68">
        <v>0</v>
      </c>
      <c r="Z130" s="68">
        <v>0</v>
      </c>
      <c r="AA130" s="68">
        <v>0</v>
      </c>
      <c r="AB130" s="68">
        <v>0</v>
      </c>
      <c r="AC130" s="68">
        <v>0</v>
      </c>
      <c r="AD130" s="68">
        <v>0</v>
      </c>
      <c r="AE130" s="68">
        <v>0</v>
      </c>
      <c r="AF130" s="68">
        <v>6</v>
      </c>
      <c r="AG130" s="68">
        <f>161-6</f>
        <v>155</v>
      </c>
      <c r="AH130" s="68">
        <v>55</v>
      </c>
      <c r="AI130" s="68">
        <v>5</v>
      </c>
      <c r="AJ130" s="68">
        <v>0</v>
      </c>
      <c r="AK130" s="144">
        <v>0</v>
      </c>
      <c r="AL130" s="68">
        <v>0</v>
      </c>
      <c r="AM130" s="68">
        <v>0</v>
      </c>
      <c r="AN130" s="68">
        <v>7</v>
      </c>
      <c r="AO130" s="68">
        <v>97</v>
      </c>
      <c r="AP130" s="68">
        <v>96</v>
      </c>
      <c r="AQ130" s="68">
        <v>94</v>
      </c>
      <c r="AR130" s="68">
        <v>68</v>
      </c>
      <c r="AS130" s="68">
        <v>23</v>
      </c>
      <c r="AT130" s="68">
        <v>131</v>
      </c>
      <c r="AU130" s="68">
        <v>73</v>
      </c>
      <c r="AV130" s="68">
        <v>0</v>
      </c>
      <c r="AW130" s="143">
        <v>0</v>
      </c>
      <c r="AX130" s="43">
        <v>0</v>
      </c>
      <c r="AY130" s="45">
        <v>0</v>
      </c>
      <c r="AZ130" s="45">
        <v>0</v>
      </c>
      <c r="BA130" s="36">
        <v>4</v>
      </c>
      <c r="BB130" s="36">
        <v>0</v>
      </c>
      <c r="BC130" s="43">
        <v>1</v>
      </c>
      <c r="BD130" s="82">
        <v>0</v>
      </c>
      <c r="BE130" s="82">
        <v>0</v>
      </c>
      <c r="BF130" s="82">
        <v>8</v>
      </c>
      <c r="BG130" s="82">
        <v>0</v>
      </c>
      <c r="BH130" s="82">
        <v>0</v>
      </c>
      <c r="BI130" s="165">
        <f t="shared" si="521"/>
        <v>0</v>
      </c>
      <c r="BJ130" s="100">
        <f t="shared" si="522"/>
        <v>0</v>
      </c>
      <c r="BK130" s="100">
        <f t="shared" si="523"/>
        <v>0</v>
      </c>
      <c r="BL130" s="100">
        <f t="shared" si="524"/>
        <v>-7</v>
      </c>
      <c r="BM130" s="100">
        <f t="shared" si="524"/>
        <v>-93</v>
      </c>
      <c r="BN130" s="100">
        <f t="shared" si="524"/>
        <v>-96</v>
      </c>
      <c r="BO130" s="100">
        <f t="shared" si="524"/>
        <v>-93</v>
      </c>
      <c r="BP130" s="100">
        <f t="shared" si="525"/>
        <v>-68</v>
      </c>
      <c r="BQ130" s="100">
        <f t="shared" si="526"/>
        <v>-23</v>
      </c>
      <c r="BR130" s="100">
        <f t="shared" si="527"/>
        <v>-123</v>
      </c>
      <c r="BS130" s="100">
        <f t="shared" si="527"/>
        <v>-73</v>
      </c>
      <c r="BT130" s="200">
        <f t="shared" si="527"/>
        <v>0</v>
      </c>
      <c r="BU130" s="145">
        <v>0</v>
      </c>
      <c r="BV130" s="70">
        <v>0</v>
      </c>
      <c r="BW130" s="70">
        <v>0</v>
      </c>
      <c r="BX130" s="70">
        <v>11</v>
      </c>
      <c r="BY130" s="70">
        <v>223</v>
      </c>
      <c r="BZ130" s="224">
        <v>465</v>
      </c>
      <c r="CA130" s="43">
        <v>279</v>
      </c>
      <c r="CB130" s="82">
        <v>329</v>
      </c>
      <c r="CC130" s="82">
        <v>143</v>
      </c>
      <c r="CD130" s="82">
        <v>210</v>
      </c>
      <c r="CE130" s="82">
        <v>377</v>
      </c>
      <c r="CF130" s="215"/>
      <c r="CG130" s="165">
        <f t="shared" si="528"/>
        <v>0</v>
      </c>
      <c r="CH130" s="100">
        <f t="shared" si="529"/>
        <v>0</v>
      </c>
      <c r="CI130" s="100">
        <f t="shared" si="530"/>
        <v>0</v>
      </c>
      <c r="CJ130" s="100">
        <f t="shared" si="531"/>
        <v>18</v>
      </c>
      <c r="CK130" s="100">
        <f t="shared" si="532"/>
        <v>316</v>
      </c>
      <c r="CL130" s="100">
        <f t="shared" si="533"/>
        <v>561</v>
      </c>
      <c r="CM130" s="100">
        <f t="shared" si="534"/>
        <v>372</v>
      </c>
      <c r="CN130" s="100">
        <f t="shared" si="535"/>
        <v>397</v>
      </c>
      <c r="CO130" s="100">
        <f t="shared" si="536"/>
        <v>166</v>
      </c>
      <c r="CP130" s="100">
        <f t="shared" si="537"/>
        <v>333</v>
      </c>
      <c r="CQ130" s="100">
        <f t="shared" si="538"/>
        <v>450</v>
      </c>
      <c r="CR130" s="200">
        <f t="shared" si="539"/>
        <v>0</v>
      </c>
    </row>
    <row r="131" spans="1:96" x14ac:dyDescent="0.25">
      <c r="A131" s="49"/>
      <c r="B131" s="96" t="s">
        <v>36</v>
      </c>
      <c r="C131" s="144">
        <v>19</v>
      </c>
      <c r="D131" s="68">
        <v>28</v>
      </c>
      <c r="E131" s="68">
        <v>22</v>
      </c>
      <c r="F131" s="68">
        <v>18</v>
      </c>
      <c r="G131" s="68">
        <v>5</v>
      </c>
      <c r="H131" s="68">
        <v>5</v>
      </c>
      <c r="I131" s="68">
        <v>4</v>
      </c>
      <c r="J131" s="68">
        <v>5</v>
      </c>
      <c r="K131" s="68">
        <v>0</v>
      </c>
      <c r="L131" s="74">
        <v>0</v>
      </c>
      <c r="M131" s="144">
        <v>3</v>
      </c>
      <c r="N131" s="68">
        <v>10</v>
      </c>
      <c r="O131" s="68">
        <v>5</v>
      </c>
      <c r="P131" s="68">
        <v>0</v>
      </c>
      <c r="Q131" s="68">
        <v>0</v>
      </c>
      <c r="R131" s="68">
        <v>0</v>
      </c>
      <c r="S131" s="68">
        <v>0</v>
      </c>
      <c r="T131" s="68">
        <v>0</v>
      </c>
      <c r="U131" s="68">
        <v>40</v>
      </c>
      <c r="V131" s="68">
        <v>10</v>
      </c>
      <c r="W131" s="68">
        <v>0</v>
      </c>
      <c r="X131" s="74">
        <v>0</v>
      </c>
      <c r="Y131" s="68">
        <v>4</v>
      </c>
      <c r="Z131" s="68">
        <v>0</v>
      </c>
      <c r="AA131" s="68">
        <v>2</v>
      </c>
      <c r="AB131" s="68">
        <v>0</v>
      </c>
      <c r="AC131" s="68">
        <v>0</v>
      </c>
      <c r="AD131" s="68">
        <v>0</v>
      </c>
      <c r="AE131" s="68">
        <v>0</v>
      </c>
      <c r="AF131" s="68">
        <v>6</v>
      </c>
      <c r="AG131" s="68">
        <v>15</v>
      </c>
      <c r="AH131" s="68">
        <v>5</v>
      </c>
      <c r="AI131" s="68">
        <v>6</v>
      </c>
      <c r="AJ131" s="68">
        <v>1</v>
      </c>
      <c r="AK131" s="144">
        <v>6</v>
      </c>
      <c r="AL131" s="68">
        <v>12</v>
      </c>
      <c r="AM131" s="68">
        <v>12</v>
      </c>
      <c r="AN131" s="68">
        <v>11</v>
      </c>
      <c r="AO131" s="68">
        <v>33</v>
      </c>
      <c r="AP131" s="68">
        <v>11</v>
      </c>
      <c r="AQ131" s="68">
        <v>8</v>
      </c>
      <c r="AR131" s="68">
        <v>34</v>
      </c>
      <c r="AS131" s="68">
        <v>3</v>
      </c>
      <c r="AT131" s="68">
        <v>24</v>
      </c>
      <c r="AU131" s="68">
        <v>17</v>
      </c>
      <c r="AV131" s="68">
        <v>0</v>
      </c>
      <c r="AW131" s="143">
        <v>0</v>
      </c>
      <c r="AX131" s="43">
        <v>3</v>
      </c>
      <c r="AY131" s="45">
        <v>53</v>
      </c>
      <c r="AZ131" s="45">
        <v>55</v>
      </c>
      <c r="BA131" s="36">
        <v>31</v>
      </c>
      <c r="BB131" s="36">
        <v>4</v>
      </c>
      <c r="BC131" s="43">
        <v>13</v>
      </c>
      <c r="BD131" s="82">
        <v>56</v>
      </c>
      <c r="BE131" s="82">
        <v>13</v>
      </c>
      <c r="BF131" s="82">
        <v>37</v>
      </c>
      <c r="BG131" s="82">
        <v>0</v>
      </c>
      <c r="BH131" s="82">
        <v>2</v>
      </c>
      <c r="BI131" s="165">
        <f t="shared" si="521"/>
        <v>-6</v>
      </c>
      <c r="BJ131" s="100">
        <f t="shared" si="522"/>
        <v>-9</v>
      </c>
      <c r="BK131" s="100">
        <f t="shared" si="523"/>
        <v>41</v>
      </c>
      <c r="BL131" s="100">
        <f t="shared" si="524"/>
        <v>44</v>
      </c>
      <c r="BM131" s="100">
        <f t="shared" si="524"/>
        <v>-2</v>
      </c>
      <c r="BN131" s="100">
        <f t="shared" si="524"/>
        <v>-7</v>
      </c>
      <c r="BO131" s="100">
        <f t="shared" si="524"/>
        <v>5</v>
      </c>
      <c r="BP131" s="100">
        <f t="shared" si="525"/>
        <v>22</v>
      </c>
      <c r="BQ131" s="100">
        <f t="shared" si="526"/>
        <v>10</v>
      </c>
      <c r="BR131" s="100">
        <f t="shared" si="527"/>
        <v>13</v>
      </c>
      <c r="BS131" s="100">
        <f t="shared" si="527"/>
        <v>-17</v>
      </c>
      <c r="BT131" s="200">
        <f t="shared" si="527"/>
        <v>2</v>
      </c>
      <c r="BU131" s="145">
        <v>41</v>
      </c>
      <c r="BV131" s="70">
        <v>35</v>
      </c>
      <c r="BW131" s="70">
        <v>81</v>
      </c>
      <c r="BX131" s="70">
        <v>64</v>
      </c>
      <c r="BY131" s="70">
        <v>61</v>
      </c>
      <c r="BZ131" s="224">
        <v>90</v>
      </c>
      <c r="CA131" s="43">
        <v>60</v>
      </c>
      <c r="CB131" s="82">
        <v>78</v>
      </c>
      <c r="CC131" s="82">
        <v>13</v>
      </c>
      <c r="CD131" s="82">
        <v>32</v>
      </c>
      <c r="CE131" s="82">
        <v>43</v>
      </c>
      <c r="CF131" s="215"/>
      <c r="CG131" s="165">
        <f t="shared" si="528"/>
        <v>47</v>
      </c>
      <c r="CH131" s="100">
        <f t="shared" si="529"/>
        <v>44</v>
      </c>
      <c r="CI131" s="100">
        <f t="shared" si="530"/>
        <v>40</v>
      </c>
      <c r="CJ131" s="100">
        <f t="shared" si="531"/>
        <v>20</v>
      </c>
      <c r="CK131" s="100">
        <f t="shared" si="532"/>
        <v>63</v>
      </c>
      <c r="CL131" s="100">
        <f t="shared" si="533"/>
        <v>97</v>
      </c>
      <c r="CM131" s="100">
        <f t="shared" si="534"/>
        <v>55</v>
      </c>
      <c r="CN131" s="100">
        <f t="shared" si="535"/>
        <v>56</v>
      </c>
      <c r="CO131" s="100">
        <f t="shared" si="536"/>
        <v>3</v>
      </c>
      <c r="CP131" s="100">
        <f t="shared" si="537"/>
        <v>19</v>
      </c>
      <c r="CQ131" s="100">
        <f t="shared" si="538"/>
        <v>60</v>
      </c>
      <c r="CR131" s="200">
        <f t="shared" si="539"/>
        <v>-2</v>
      </c>
    </row>
    <row r="132" spans="1:96" x14ac:dyDescent="0.25">
      <c r="A132" s="49"/>
      <c r="B132" s="96" t="s">
        <v>37</v>
      </c>
      <c r="C132" s="144"/>
      <c r="D132" s="68"/>
      <c r="E132" s="68"/>
      <c r="F132" s="68"/>
      <c r="G132" s="68"/>
      <c r="H132" s="68"/>
      <c r="I132" s="68"/>
      <c r="J132" s="68"/>
      <c r="K132" s="68"/>
      <c r="L132" s="74"/>
      <c r="M132" s="144">
        <v>0</v>
      </c>
      <c r="N132" s="68">
        <v>0</v>
      </c>
      <c r="O132" s="68">
        <v>0</v>
      </c>
      <c r="P132" s="68">
        <v>0</v>
      </c>
      <c r="Q132" s="68">
        <v>0</v>
      </c>
      <c r="R132" s="68">
        <v>0</v>
      </c>
      <c r="S132" s="68">
        <v>0</v>
      </c>
      <c r="T132" s="68">
        <v>0</v>
      </c>
      <c r="U132" s="68">
        <v>3</v>
      </c>
      <c r="V132" s="68">
        <v>0</v>
      </c>
      <c r="W132" s="68">
        <v>0</v>
      </c>
      <c r="X132" s="74">
        <v>0</v>
      </c>
      <c r="Y132" s="68">
        <v>2</v>
      </c>
      <c r="Z132" s="68">
        <v>0</v>
      </c>
      <c r="AA132" s="68">
        <v>1</v>
      </c>
      <c r="AB132" s="68">
        <v>0</v>
      </c>
      <c r="AC132" s="68">
        <v>0</v>
      </c>
      <c r="AD132" s="68">
        <v>0</v>
      </c>
      <c r="AE132" s="68">
        <v>0</v>
      </c>
      <c r="AF132" s="68">
        <v>0</v>
      </c>
      <c r="AG132" s="68">
        <v>4</v>
      </c>
      <c r="AH132" s="68">
        <v>1</v>
      </c>
      <c r="AI132" s="68">
        <v>0</v>
      </c>
      <c r="AJ132" s="68">
        <v>2</v>
      </c>
      <c r="AK132" s="144">
        <v>2</v>
      </c>
      <c r="AL132" s="68">
        <v>0</v>
      </c>
      <c r="AM132" s="68">
        <v>4</v>
      </c>
      <c r="AN132" s="68">
        <v>2</v>
      </c>
      <c r="AO132" s="68">
        <v>27</v>
      </c>
      <c r="AP132" s="68">
        <v>1</v>
      </c>
      <c r="AQ132" s="68">
        <v>0</v>
      </c>
      <c r="AR132" s="68">
        <v>21</v>
      </c>
      <c r="AS132" s="68">
        <v>3</v>
      </c>
      <c r="AT132" s="68">
        <v>13</v>
      </c>
      <c r="AU132" s="68">
        <v>8</v>
      </c>
      <c r="AV132" s="68">
        <v>0</v>
      </c>
      <c r="AW132" s="143">
        <v>0</v>
      </c>
      <c r="AX132" s="43">
        <v>1</v>
      </c>
      <c r="AY132" s="45">
        <v>19</v>
      </c>
      <c r="AZ132" s="45">
        <v>7</v>
      </c>
      <c r="BA132" s="36">
        <v>9</v>
      </c>
      <c r="BB132" s="36">
        <v>2</v>
      </c>
      <c r="BC132" s="43">
        <v>2</v>
      </c>
      <c r="BD132" s="82">
        <v>22</v>
      </c>
      <c r="BE132" s="82">
        <v>10</v>
      </c>
      <c r="BF132" s="82">
        <v>7</v>
      </c>
      <c r="BG132" s="82">
        <v>0</v>
      </c>
      <c r="BH132" s="82">
        <v>0</v>
      </c>
      <c r="BI132" s="165">
        <f t="shared" si="521"/>
        <v>-2</v>
      </c>
      <c r="BJ132" s="100">
        <f t="shared" si="522"/>
        <v>1</v>
      </c>
      <c r="BK132" s="100">
        <f t="shared" si="523"/>
        <v>15</v>
      </c>
      <c r="BL132" s="100">
        <f t="shared" si="524"/>
        <v>5</v>
      </c>
      <c r="BM132" s="100">
        <f t="shared" si="524"/>
        <v>-18</v>
      </c>
      <c r="BN132" s="100">
        <f t="shared" si="524"/>
        <v>1</v>
      </c>
      <c r="BO132" s="100">
        <f t="shared" si="524"/>
        <v>2</v>
      </c>
      <c r="BP132" s="100">
        <f t="shared" si="525"/>
        <v>1</v>
      </c>
      <c r="BQ132" s="100">
        <f t="shared" si="526"/>
        <v>7</v>
      </c>
      <c r="BR132" s="100">
        <f t="shared" si="527"/>
        <v>-6</v>
      </c>
      <c r="BS132" s="100">
        <f t="shared" si="527"/>
        <v>-8</v>
      </c>
      <c r="BT132" s="200">
        <f t="shared" si="527"/>
        <v>0</v>
      </c>
      <c r="BU132" s="145">
        <v>10</v>
      </c>
      <c r="BV132" s="70">
        <v>6</v>
      </c>
      <c r="BW132" s="70">
        <v>23</v>
      </c>
      <c r="BX132" s="70">
        <v>9</v>
      </c>
      <c r="BY132" s="70">
        <v>2</v>
      </c>
      <c r="BZ132" s="224">
        <v>5</v>
      </c>
      <c r="CA132" s="43">
        <v>7</v>
      </c>
      <c r="CB132" s="82">
        <v>5</v>
      </c>
      <c r="CC132" s="82">
        <v>6</v>
      </c>
      <c r="CD132" s="82">
        <v>2</v>
      </c>
      <c r="CE132" s="82">
        <v>7</v>
      </c>
      <c r="CF132" s="215"/>
      <c r="CG132" s="165">
        <f t="shared" si="528"/>
        <v>12</v>
      </c>
      <c r="CH132" s="100">
        <f t="shared" si="529"/>
        <v>5</v>
      </c>
      <c r="CI132" s="100">
        <f t="shared" si="530"/>
        <v>8</v>
      </c>
      <c r="CJ132" s="100">
        <f t="shared" si="531"/>
        <v>4</v>
      </c>
      <c r="CK132" s="100">
        <f t="shared" si="532"/>
        <v>20</v>
      </c>
      <c r="CL132" s="100">
        <f t="shared" si="533"/>
        <v>4</v>
      </c>
      <c r="CM132" s="100">
        <f t="shared" si="534"/>
        <v>5</v>
      </c>
      <c r="CN132" s="100">
        <f t="shared" si="535"/>
        <v>4</v>
      </c>
      <c r="CO132" s="100">
        <f t="shared" si="536"/>
        <v>-1</v>
      </c>
      <c r="CP132" s="100">
        <f t="shared" si="537"/>
        <v>8</v>
      </c>
      <c r="CQ132" s="100">
        <f t="shared" si="538"/>
        <v>15</v>
      </c>
      <c r="CR132" s="200">
        <f t="shared" si="539"/>
        <v>0</v>
      </c>
    </row>
    <row r="133" spans="1:96" x14ac:dyDescent="0.25">
      <c r="A133" s="49"/>
      <c r="B133" s="96" t="s">
        <v>38</v>
      </c>
      <c r="C133" s="144"/>
      <c r="D133" s="68"/>
      <c r="E133" s="68"/>
      <c r="F133" s="68"/>
      <c r="G133" s="68"/>
      <c r="H133" s="68"/>
      <c r="I133" s="68"/>
      <c r="J133" s="68"/>
      <c r="K133" s="68"/>
      <c r="L133" s="74"/>
      <c r="M133" s="144">
        <v>0</v>
      </c>
      <c r="N133" s="68">
        <v>0</v>
      </c>
      <c r="O133" s="68">
        <v>0</v>
      </c>
      <c r="P133" s="68">
        <v>0</v>
      </c>
      <c r="Q133" s="68">
        <v>0</v>
      </c>
      <c r="R133" s="68">
        <v>0</v>
      </c>
      <c r="S133" s="68">
        <v>0</v>
      </c>
      <c r="T133" s="68">
        <v>0</v>
      </c>
      <c r="U133" s="68">
        <v>1</v>
      </c>
      <c r="V133" s="68">
        <v>0</v>
      </c>
      <c r="W133" s="68">
        <v>0</v>
      </c>
      <c r="X133" s="74">
        <v>0</v>
      </c>
      <c r="Y133" s="68">
        <v>0</v>
      </c>
      <c r="Z133" s="68">
        <v>0</v>
      </c>
      <c r="AA133" s="68">
        <v>0</v>
      </c>
      <c r="AB133" s="68">
        <v>0</v>
      </c>
      <c r="AC133" s="68">
        <v>0</v>
      </c>
      <c r="AD133" s="68">
        <v>0</v>
      </c>
      <c r="AE133" s="68">
        <v>0</v>
      </c>
      <c r="AF133" s="68">
        <v>0</v>
      </c>
      <c r="AG133" s="68">
        <v>0</v>
      </c>
      <c r="AH133" s="68">
        <v>0</v>
      </c>
      <c r="AI133" s="68">
        <v>0</v>
      </c>
      <c r="AJ133" s="68">
        <v>0</v>
      </c>
      <c r="AK133" s="144">
        <v>0</v>
      </c>
      <c r="AL133" s="68">
        <v>0</v>
      </c>
      <c r="AM133" s="68">
        <v>1</v>
      </c>
      <c r="AN133" s="68">
        <v>0</v>
      </c>
      <c r="AO133" s="68">
        <v>2</v>
      </c>
      <c r="AP133" s="68">
        <v>0</v>
      </c>
      <c r="AQ133" s="68">
        <v>0</v>
      </c>
      <c r="AR133" s="68">
        <v>0</v>
      </c>
      <c r="AS133" s="68">
        <v>0</v>
      </c>
      <c r="AT133" s="68">
        <v>2</v>
      </c>
      <c r="AU133" s="68">
        <v>0</v>
      </c>
      <c r="AV133" s="68">
        <v>0</v>
      </c>
      <c r="AW133" s="143">
        <v>0</v>
      </c>
      <c r="AX133" s="43">
        <v>0</v>
      </c>
      <c r="AY133" s="45">
        <v>0</v>
      </c>
      <c r="AZ133" s="45">
        <v>1</v>
      </c>
      <c r="BA133" s="36">
        <v>2</v>
      </c>
      <c r="BB133" s="36">
        <v>0</v>
      </c>
      <c r="BC133" s="43">
        <v>0</v>
      </c>
      <c r="BD133" s="82">
        <v>0</v>
      </c>
      <c r="BE133" s="82">
        <v>1</v>
      </c>
      <c r="BF133" s="82">
        <v>1</v>
      </c>
      <c r="BG133" s="82">
        <v>0</v>
      </c>
      <c r="BH133" s="82">
        <v>0</v>
      </c>
      <c r="BI133" s="165">
        <f t="shared" si="521"/>
        <v>0</v>
      </c>
      <c r="BJ133" s="100">
        <f t="shared" si="522"/>
        <v>0</v>
      </c>
      <c r="BK133" s="100">
        <f t="shared" si="523"/>
        <v>-1</v>
      </c>
      <c r="BL133" s="100">
        <f t="shared" si="524"/>
        <v>1</v>
      </c>
      <c r="BM133" s="100">
        <f t="shared" si="524"/>
        <v>0</v>
      </c>
      <c r="BN133" s="100">
        <f t="shared" si="524"/>
        <v>0</v>
      </c>
      <c r="BO133" s="100">
        <f t="shared" si="524"/>
        <v>0</v>
      </c>
      <c r="BP133" s="100">
        <f t="shared" si="525"/>
        <v>0</v>
      </c>
      <c r="BQ133" s="100">
        <f t="shared" si="526"/>
        <v>1</v>
      </c>
      <c r="BR133" s="100">
        <f t="shared" si="527"/>
        <v>-1</v>
      </c>
      <c r="BS133" s="100">
        <f t="shared" si="527"/>
        <v>0</v>
      </c>
      <c r="BT133" s="200">
        <f t="shared" si="527"/>
        <v>0</v>
      </c>
      <c r="BU133" s="145">
        <v>0</v>
      </c>
      <c r="BV133" s="70">
        <v>0</v>
      </c>
      <c r="BW133" s="70">
        <v>1</v>
      </c>
      <c r="BX133" s="70">
        <v>0</v>
      </c>
      <c r="BY133" s="70">
        <v>1</v>
      </c>
      <c r="BZ133" s="224">
        <v>1</v>
      </c>
      <c r="CA133" s="43">
        <v>0</v>
      </c>
      <c r="CB133" s="82">
        <v>0</v>
      </c>
      <c r="CC133" s="82">
        <v>1</v>
      </c>
      <c r="CD133" s="82">
        <v>0</v>
      </c>
      <c r="CE133" s="82">
        <v>2</v>
      </c>
      <c r="CF133" s="215"/>
      <c r="CG133" s="165">
        <f t="shared" si="528"/>
        <v>0</v>
      </c>
      <c r="CH133" s="100">
        <f t="shared" si="529"/>
        <v>0</v>
      </c>
      <c r="CI133" s="100">
        <f t="shared" si="530"/>
        <v>2</v>
      </c>
      <c r="CJ133" s="100">
        <f t="shared" si="531"/>
        <v>-1</v>
      </c>
      <c r="CK133" s="100">
        <f t="shared" si="532"/>
        <v>1</v>
      </c>
      <c r="CL133" s="100">
        <f t="shared" si="533"/>
        <v>1</v>
      </c>
      <c r="CM133" s="100">
        <f t="shared" si="534"/>
        <v>0</v>
      </c>
      <c r="CN133" s="100">
        <f t="shared" si="535"/>
        <v>0</v>
      </c>
      <c r="CO133" s="100">
        <f t="shared" si="536"/>
        <v>0</v>
      </c>
      <c r="CP133" s="100">
        <f t="shared" si="537"/>
        <v>1</v>
      </c>
      <c r="CQ133" s="100">
        <f t="shared" si="538"/>
        <v>2</v>
      </c>
      <c r="CR133" s="200">
        <f t="shared" si="539"/>
        <v>0</v>
      </c>
    </row>
    <row r="134" spans="1:96" x14ac:dyDescent="0.25">
      <c r="A134" s="49"/>
      <c r="B134" s="96" t="s">
        <v>39</v>
      </c>
      <c r="C134" s="144">
        <f t="shared" ref="C134:AC134" si="540">SUM(C129:C133)</f>
        <v>40</v>
      </c>
      <c r="D134" s="68">
        <f t="shared" si="540"/>
        <v>612</v>
      </c>
      <c r="E134" s="68">
        <f t="shared" si="540"/>
        <v>763</v>
      </c>
      <c r="F134" s="68">
        <f t="shared" si="540"/>
        <v>413</v>
      </c>
      <c r="G134" s="68">
        <f t="shared" si="540"/>
        <v>235</v>
      </c>
      <c r="H134" s="68">
        <f t="shared" si="540"/>
        <v>472</v>
      </c>
      <c r="I134" s="68">
        <f t="shared" si="540"/>
        <v>331</v>
      </c>
      <c r="J134" s="68">
        <f t="shared" si="540"/>
        <v>256</v>
      </c>
      <c r="K134" s="68">
        <f t="shared" si="540"/>
        <v>61</v>
      </c>
      <c r="L134" s="74">
        <f t="shared" si="540"/>
        <v>8</v>
      </c>
      <c r="M134" s="144">
        <f t="shared" si="540"/>
        <v>7</v>
      </c>
      <c r="N134" s="68">
        <f t="shared" si="540"/>
        <v>14</v>
      </c>
      <c r="O134" s="68">
        <f t="shared" si="540"/>
        <v>6</v>
      </c>
      <c r="P134" s="68">
        <f t="shared" si="540"/>
        <v>0</v>
      </c>
      <c r="Q134" s="68">
        <f t="shared" si="540"/>
        <v>0</v>
      </c>
      <c r="R134" s="68">
        <f t="shared" si="540"/>
        <v>0</v>
      </c>
      <c r="S134" s="68">
        <f t="shared" si="540"/>
        <v>0</v>
      </c>
      <c r="T134" s="68">
        <f t="shared" si="540"/>
        <v>0</v>
      </c>
      <c r="U134" s="68">
        <f t="shared" si="540"/>
        <v>44</v>
      </c>
      <c r="V134" s="68">
        <f t="shared" si="540"/>
        <v>10</v>
      </c>
      <c r="W134" s="68">
        <f t="shared" si="540"/>
        <v>0</v>
      </c>
      <c r="X134" s="74">
        <f t="shared" si="540"/>
        <v>0</v>
      </c>
      <c r="Y134" s="68">
        <f t="shared" si="540"/>
        <v>6</v>
      </c>
      <c r="Z134" s="68">
        <f t="shared" si="540"/>
        <v>0</v>
      </c>
      <c r="AA134" s="68">
        <f t="shared" si="540"/>
        <v>3</v>
      </c>
      <c r="AB134" s="68">
        <f t="shared" si="540"/>
        <v>0</v>
      </c>
      <c r="AC134" s="68">
        <f t="shared" si="540"/>
        <v>0</v>
      </c>
      <c r="AD134" s="68">
        <f t="shared" ref="AD134:AI134" si="541">SUM(AD129:AD133)</f>
        <v>0</v>
      </c>
      <c r="AE134" s="68">
        <f t="shared" si="541"/>
        <v>0</v>
      </c>
      <c r="AF134" s="68">
        <f t="shared" si="541"/>
        <v>39</v>
      </c>
      <c r="AG134" s="68">
        <f t="shared" si="541"/>
        <v>724</v>
      </c>
      <c r="AH134" s="68">
        <f t="shared" si="541"/>
        <v>258</v>
      </c>
      <c r="AI134" s="68">
        <f t="shared" si="541"/>
        <v>32</v>
      </c>
      <c r="AJ134" s="68">
        <f>SUM(AJ129:AJ133)</f>
        <v>3</v>
      </c>
      <c r="AK134" s="144">
        <f>SUM(AK129:AK133)</f>
        <v>8</v>
      </c>
      <c r="AL134" s="68">
        <f>SUM(AL129:AL133)</f>
        <v>12</v>
      </c>
      <c r="AM134" s="68">
        <f>SUM(AM129:AM133)</f>
        <v>17</v>
      </c>
      <c r="AN134" s="68">
        <f>SUM(AN129:AN133)</f>
        <v>62</v>
      </c>
      <c r="AO134" s="68">
        <f t="shared" ref="AO134:AT134" si="542">SUM(AO129:AO133)</f>
        <v>573</v>
      </c>
      <c r="AP134" s="68">
        <f t="shared" si="542"/>
        <v>396</v>
      </c>
      <c r="AQ134" s="68">
        <f t="shared" si="542"/>
        <v>449</v>
      </c>
      <c r="AR134" s="68">
        <f t="shared" si="542"/>
        <v>403</v>
      </c>
      <c r="AS134" s="68">
        <f t="shared" si="542"/>
        <v>125</v>
      </c>
      <c r="AT134" s="68">
        <f t="shared" si="542"/>
        <v>474</v>
      </c>
      <c r="AU134" s="68">
        <f>SUM(AU129:AU133)</f>
        <v>292</v>
      </c>
      <c r="AV134" s="68">
        <v>0</v>
      </c>
      <c r="AW134" s="143">
        <v>0</v>
      </c>
      <c r="AX134" s="43">
        <f>SUM(AX129:AX133)</f>
        <v>4</v>
      </c>
      <c r="AY134" s="45">
        <f>SUM(AY129:AY133)</f>
        <v>72</v>
      </c>
      <c r="AZ134" s="45">
        <f t="shared" ref="AZ134:BB134" si="543">SUM(AZ129:AZ133)</f>
        <v>65</v>
      </c>
      <c r="BA134" s="45">
        <f t="shared" si="543"/>
        <v>103</v>
      </c>
      <c r="BB134" s="45">
        <f t="shared" si="543"/>
        <v>328</v>
      </c>
      <c r="BC134" s="45">
        <f>SUM(BC129:BC133)</f>
        <v>573</v>
      </c>
      <c r="BD134" s="197">
        <f>SUM(BD129:BD133)</f>
        <v>309</v>
      </c>
      <c r="BE134" s="197">
        <f>SUM(BE129:BE133)</f>
        <v>225</v>
      </c>
      <c r="BF134" s="197">
        <f>SUM(BF129:BF133)</f>
        <v>694</v>
      </c>
      <c r="BG134" s="197">
        <f t="shared" ref="BG134:BH134" si="544">SUM(BG129:BG133)</f>
        <v>1</v>
      </c>
      <c r="BH134" s="197">
        <f t="shared" si="544"/>
        <v>2</v>
      </c>
      <c r="BI134" s="165">
        <f t="shared" si="521"/>
        <v>-8</v>
      </c>
      <c r="BJ134" s="100">
        <f t="shared" si="522"/>
        <v>-8</v>
      </c>
      <c r="BK134" s="100">
        <f t="shared" si="523"/>
        <v>55</v>
      </c>
      <c r="BL134" s="100">
        <f t="shared" si="524"/>
        <v>3</v>
      </c>
      <c r="BM134" s="100">
        <f t="shared" si="524"/>
        <v>-470</v>
      </c>
      <c r="BN134" s="100">
        <f t="shared" si="524"/>
        <v>-68</v>
      </c>
      <c r="BO134" s="100">
        <f t="shared" si="524"/>
        <v>124</v>
      </c>
      <c r="BP134" s="100">
        <f t="shared" si="525"/>
        <v>-94</v>
      </c>
      <c r="BQ134" s="100">
        <f t="shared" si="526"/>
        <v>100</v>
      </c>
      <c r="BR134" s="100">
        <f t="shared" si="527"/>
        <v>220</v>
      </c>
      <c r="BS134" s="100">
        <f t="shared" si="527"/>
        <v>-291</v>
      </c>
      <c r="BT134" s="200">
        <f t="shared" si="527"/>
        <v>2</v>
      </c>
      <c r="BU134" s="145">
        <f>SUM(BU129:BU133)</f>
        <v>51</v>
      </c>
      <c r="BV134" s="70">
        <f>SUM(BV129:BV133)</f>
        <v>41</v>
      </c>
      <c r="BW134" s="70">
        <f>SUM(BW129:BW133)</f>
        <v>106</v>
      </c>
      <c r="BX134" s="70">
        <f t="shared" ref="BX134:BY134" si="545">SUM(BX129:BX133)</f>
        <v>1063</v>
      </c>
      <c r="BY134" s="70">
        <f t="shared" si="545"/>
        <v>1318</v>
      </c>
      <c r="BZ134" s="84">
        <v>2333</v>
      </c>
      <c r="CA134" s="45">
        <f>SUM(CA129:CA133)</f>
        <v>1456</v>
      </c>
      <c r="CB134" s="197">
        <f>SUM(CB129:CB133)</f>
        <v>1579</v>
      </c>
      <c r="CC134" s="197">
        <f>SUM(CC129:CC133)</f>
        <v>689</v>
      </c>
      <c r="CD134" s="197">
        <f>SUM(CD129:CD133)</f>
        <v>932</v>
      </c>
      <c r="CE134" s="197">
        <f t="shared" ref="CE134:CF134" si="546">SUM(CE129:CE133)</f>
        <v>957</v>
      </c>
      <c r="CF134" s="216">
        <f t="shared" si="546"/>
        <v>0</v>
      </c>
      <c r="CG134" s="165">
        <f t="shared" si="528"/>
        <v>59</v>
      </c>
      <c r="CH134" s="100">
        <f t="shared" si="529"/>
        <v>49</v>
      </c>
      <c r="CI134" s="100">
        <f t="shared" si="530"/>
        <v>51</v>
      </c>
      <c r="CJ134" s="100">
        <f t="shared" si="531"/>
        <v>1060</v>
      </c>
      <c r="CK134" s="100">
        <f t="shared" si="532"/>
        <v>1788</v>
      </c>
      <c r="CL134" s="100">
        <f t="shared" si="533"/>
        <v>2401</v>
      </c>
      <c r="CM134" s="100">
        <f t="shared" si="534"/>
        <v>1332</v>
      </c>
      <c r="CN134" s="100">
        <f t="shared" si="535"/>
        <v>1673</v>
      </c>
      <c r="CO134" s="100">
        <f t="shared" si="536"/>
        <v>589</v>
      </c>
      <c r="CP134" s="100">
        <f t="shared" si="537"/>
        <v>712</v>
      </c>
      <c r="CQ134" s="100">
        <f t="shared" si="538"/>
        <v>1248</v>
      </c>
      <c r="CR134" s="200">
        <f t="shared" si="539"/>
        <v>-2</v>
      </c>
    </row>
    <row r="135" spans="1:96" x14ac:dyDescent="0.25">
      <c r="A135" s="49">
        <f>+A128+1</f>
        <v>19</v>
      </c>
      <c r="B135" s="123" t="s">
        <v>23</v>
      </c>
      <c r="C135" s="143"/>
      <c r="D135" s="43"/>
      <c r="E135" s="43"/>
      <c r="F135" s="43"/>
      <c r="G135" s="43"/>
      <c r="H135" s="43"/>
      <c r="I135" s="43"/>
      <c r="J135" s="43"/>
      <c r="K135" s="43"/>
      <c r="L135" s="75"/>
      <c r="M135" s="143"/>
      <c r="N135" s="43"/>
      <c r="O135" s="43"/>
      <c r="P135" s="43"/>
      <c r="Q135" s="43"/>
      <c r="R135" s="43"/>
      <c r="S135" s="43"/>
      <c r="T135" s="43"/>
      <c r="U135" s="43"/>
      <c r="V135" s="43"/>
      <c r="W135" s="43"/>
      <c r="X135" s="75"/>
      <c r="Y135" s="43"/>
      <c r="Z135" s="43"/>
      <c r="AA135" s="43"/>
      <c r="AB135" s="43"/>
      <c r="AC135" s="43"/>
      <c r="AD135" s="43"/>
      <c r="AE135" s="43"/>
      <c r="AF135" s="43"/>
      <c r="AG135" s="43"/>
      <c r="AH135" s="43"/>
      <c r="AI135" s="43"/>
      <c r="AJ135" s="43"/>
      <c r="AK135" s="143"/>
      <c r="AL135" s="43"/>
      <c r="AM135" s="43"/>
      <c r="AN135" s="43"/>
      <c r="AO135" s="43"/>
      <c r="AP135" s="43"/>
      <c r="AQ135" s="43"/>
      <c r="AR135" s="43"/>
      <c r="AS135" s="43"/>
      <c r="AT135" s="43"/>
      <c r="AU135" s="43"/>
      <c r="AV135" s="43"/>
      <c r="AW135" s="143"/>
      <c r="AX135" s="43"/>
      <c r="AY135" s="45"/>
      <c r="AZ135" s="45"/>
      <c r="BA135" s="44"/>
      <c r="BB135" s="44"/>
      <c r="BC135" s="43"/>
      <c r="BD135" s="131"/>
      <c r="BE135" s="131"/>
      <c r="BF135" s="131"/>
      <c r="BG135" s="44"/>
      <c r="BH135" s="97"/>
      <c r="BI135" s="143"/>
      <c r="BJ135" s="43"/>
      <c r="BK135" s="45"/>
      <c r="BL135" s="45"/>
      <c r="BM135" s="45"/>
      <c r="BN135" s="45"/>
      <c r="BO135" s="45"/>
      <c r="BP135" s="45"/>
      <c r="BQ135" s="45"/>
      <c r="BR135" s="45"/>
      <c r="BS135" s="45"/>
      <c r="BT135" s="136"/>
      <c r="BU135" s="145"/>
      <c r="BV135" s="70"/>
      <c r="BW135" s="70"/>
      <c r="BX135" s="70"/>
      <c r="BY135" s="70"/>
      <c r="BZ135" s="225"/>
      <c r="CA135" s="43"/>
      <c r="CB135" s="131"/>
      <c r="CC135" s="131"/>
      <c r="CD135" s="131"/>
      <c r="CE135" s="44"/>
      <c r="CF135" s="97"/>
      <c r="CG135" s="143"/>
      <c r="CH135" s="43"/>
      <c r="CI135" s="45"/>
      <c r="CJ135" s="45"/>
      <c r="CK135" s="45"/>
      <c r="CL135" s="45"/>
      <c r="CM135" s="45"/>
      <c r="CN135" s="45"/>
      <c r="CO135" s="45"/>
      <c r="CP135" s="45"/>
      <c r="CQ135" s="45"/>
      <c r="CR135" s="136"/>
    </row>
    <row r="136" spans="1:96" x14ac:dyDescent="0.25">
      <c r="A136" s="49"/>
      <c r="B136" s="96" t="s">
        <v>34</v>
      </c>
      <c r="C136" s="145">
        <v>534</v>
      </c>
      <c r="D136" s="70">
        <v>728</v>
      </c>
      <c r="E136" s="70">
        <v>827</v>
      </c>
      <c r="F136" s="70">
        <v>787</v>
      </c>
      <c r="G136" s="70">
        <v>598</v>
      </c>
      <c r="H136" s="70">
        <v>434</v>
      </c>
      <c r="I136" s="70">
        <v>270</v>
      </c>
      <c r="J136" s="70">
        <v>212</v>
      </c>
      <c r="K136" s="70">
        <v>194</v>
      </c>
      <c r="L136" s="71">
        <v>106</v>
      </c>
      <c r="M136" s="145">
        <v>166</v>
      </c>
      <c r="N136" s="70">
        <v>352</v>
      </c>
      <c r="O136" s="70">
        <v>338</v>
      </c>
      <c r="P136" s="70">
        <v>135</v>
      </c>
      <c r="Q136" s="70">
        <v>117</v>
      </c>
      <c r="R136" s="70">
        <v>154</v>
      </c>
      <c r="S136" s="70">
        <v>102</v>
      </c>
      <c r="T136" s="70">
        <v>101</v>
      </c>
      <c r="U136" s="70">
        <v>78</v>
      </c>
      <c r="V136" s="70">
        <v>202</v>
      </c>
      <c r="W136" s="43">
        <v>417</v>
      </c>
      <c r="X136" s="75">
        <v>196</v>
      </c>
      <c r="Y136" s="43">
        <v>126</v>
      </c>
      <c r="Z136" s="43">
        <v>134</v>
      </c>
      <c r="AA136" s="43">
        <v>164</v>
      </c>
      <c r="AB136" s="43">
        <v>175</v>
      </c>
      <c r="AC136" s="43">
        <v>245</v>
      </c>
      <c r="AD136" s="43">
        <v>505</v>
      </c>
      <c r="AE136" s="43">
        <v>306</v>
      </c>
      <c r="AF136" s="43">
        <v>263</v>
      </c>
      <c r="AG136" s="43">
        <v>393</v>
      </c>
      <c r="AH136" s="43">
        <v>339</v>
      </c>
      <c r="AI136" s="43">
        <v>254</v>
      </c>
      <c r="AJ136" s="43">
        <f>2+197</f>
        <v>199</v>
      </c>
      <c r="AK136" s="143">
        <v>256</v>
      </c>
      <c r="AL136" s="43">
        <v>280</v>
      </c>
      <c r="AM136" s="43">
        <v>340</v>
      </c>
      <c r="AN136" s="43"/>
      <c r="AO136" s="43">
        <v>343</v>
      </c>
      <c r="AP136" s="43">
        <v>477</v>
      </c>
      <c r="AQ136" s="43">
        <v>599</v>
      </c>
      <c r="AR136" s="43">
        <v>466</v>
      </c>
      <c r="AS136" s="43">
        <f>509+5</f>
        <v>514</v>
      </c>
      <c r="AT136" s="43">
        <f>589+5</f>
        <v>594</v>
      </c>
      <c r="AU136" s="43">
        <f>619+8</f>
        <v>627</v>
      </c>
      <c r="AV136" s="43">
        <v>611</v>
      </c>
      <c r="AW136" s="143">
        <f>3+266</f>
        <v>269</v>
      </c>
      <c r="AX136" s="43">
        <v>239</v>
      </c>
      <c r="AY136" s="45">
        <v>278</v>
      </c>
      <c r="AZ136" s="45">
        <v>287</v>
      </c>
      <c r="BA136" s="36">
        <v>374</v>
      </c>
      <c r="BB136" s="36">
        <v>241</v>
      </c>
      <c r="BC136" s="43">
        <f>SUM(11+586)</f>
        <v>597</v>
      </c>
      <c r="BD136" s="82">
        <v>1049</v>
      </c>
      <c r="BE136" s="131">
        <f>847+14</f>
        <v>861</v>
      </c>
      <c r="BF136" s="82">
        <v>793</v>
      </c>
      <c r="BG136" s="43">
        <f>783+18</f>
        <v>801</v>
      </c>
      <c r="BH136" s="43">
        <v>621</v>
      </c>
      <c r="BI136" s="165">
        <f t="shared" ref="BI136:BI141" si="547">AW136-AK136</f>
        <v>13</v>
      </c>
      <c r="BJ136" s="100">
        <f t="shared" ref="BJ136:BJ141" si="548">AX136-AL136</f>
        <v>-41</v>
      </c>
      <c r="BK136" s="100">
        <f t="shared" ref="BK136:BK141" si="549">AY136-AM136</f>
        <v>-62</v>
      </c>
      <c r="BL136" s="100">
        <f t="shared" ref="BL136:BO141" si="550">AZ136-AN136</f>
        <v>287</v>
      </c>
      <c r="BM136" s="100">
        <f t="shared" si="550"/>
        <v>31</v>
      </c>
      <c r="BN136" s="100">
        <f t="shared" si="550"/>
        <v>-236</v>
      </c>
      <c r="BO136" s="100">
        <f t="shared" si="550"/>
        <v>-2</v>
      </c>
      <c r="BP136" s="100">
        <f t="shared" ref="BP136:BP141" si="551">BD136-AR136</f>
        <v>583</v>
      </c>
      <c r="BQ136" s="100">
        <f t="shared" ref="BQ136:BQ141" si="552">BE136-AS136</f>
        <v>347</v>
      </c>
      <c r="BR136" s="100">
        <f t="shared" ref="BR136:BT141" si="553">BF136-AT136</f>
        <v>199</v>
      </c>
      <c r="BS136" s="100">
        <f t="shared" si="553"/>
        <v>174</v>
      </c>
      <c r="BT136" s="200">
        <f t="shared" si="553"/>
        <v>10</v>
      </c>
      <c r="BU136" s="145">
        <v>407</v>
      </c>
      <c r="BV136" s="70">
        <v>396</v>
      </c>
      <c r="BW136" s="70">
        <v>482</v>
      </c>
      <c r="BX136" s="70">
        <f>678+13</f>
        <v>691</v>
      </c>
      <c r="BY136" s="70">
        <f>13+678</f>
        <v>691</v>
      </c>
      <c r="BZ136" s="224">
        <v>1067</v>
      </c>
      <c r="CA136" s="43">
        <v>1016</v>
      </c>
      <c r="CB136" s="43">
        <v>903</v>
      </c>
      <c r="CC136" s="131">
        <v>817</v>
      </c>
      <c r="CD136" s="82">
        <v>744</v>
      </c>
      <c r="CE136" s="43">
        <v>745</v>
      </c>
      <c r="CF136" s="75"/>
      <c r="CG136" s="165">
        <f t="shared" ref="CG136:CG141" si="554">BU136-BI136</f>
        <v>394</v>
      </c>
      <c r="CH136" s="100">
        <f t="shared" ref="CH136:CH141" si="555">BV136-BJ136</f>
        <v>437</v>
      </c>
      <c r="CI136" s="100">
        <f t="shared" ref="CI136:CI141" si="556">BW136-BK136</f>
        <v>544</v>
      </c>
      <c r="CJ136" s="100">
        <f t="shared" ref="CJ136:CJ141" si="557">BX136-BL136</f>
        <v>404</v>
      </c>
      <c r="CK136" s="100">
        <f t="shared" ref="CK136:CK141" si="558">BY136-BM136</f>
        <v>660</v>
      </c>
      <c r="CL136" s="100">
        <f t="shared" ref="CL136:CL141" si="559">BZ136-BN136</f>
        <v>1303</v>
      </c>
      <c r="CM136" s="100">
        <f t="shared" ref="CM136:CM141" si="560">CA136-BO136</f>
        <v>1018</v>
      </c>
      <c r="CN136" s="100">
        <f t="shared" ref="CN136:CN141" si="561">CB136-BP136</f>
        <v>320</v>
      </c>
      <c r="CO136" s="100">
        <f t="shared" ref="CO136:CO141" si="562">CC136-BQ136</f>
        <v>470</v>
      </c>
      <c r="CP136" s="100">
        <f t="shared" ref="CP136:CP141" si="563">CD136-BR136</f>
        <v>545</v>
      </c>
      <c r="CQ136" s="100">
        <f t="shared" ref="CQ136:CQ141" si="564">CE136-BS136</f>
        <v>571</v>
      </c>
      <c r="CR136" s="200">
        <f t="shared" ref="CR136:CR141" si="565">CF136-BT136</f>
        <v>-10</v>
      </c>
    </row>
    <row r="137" spans="1:96" x14ac:dyDescent="0.25">
      <c r="A137" s="49"/>
      <c r="B137" s="96" t="s">
        <v>35</v>
      </c>
      <c r="C137" s="145">
        <v>108</v>
      </c>
      <c r="D137" s="70">
        <v>228</v>
      </c>
      <c r="E137" s="70">
        <v>352</v>
      </c>
      <c r="F137" s="70">
        <v>349</v>
      </c>
      <c r="G137" s="70">
        <v>301</v>
      </c>
      <c r="H137" s="70">
        <v>289</v>
      </c>
      <c r="I137" s="70">
        <v>261</v>
      </c>
      <c r="J137" s="70">
        <v>192</v>
      </c>
      <c r="K137" s="70">
        <v>161</v>
      </c>
      <c r="L137" s="71">
        <v>63</v>
      </c>
      <c r="M137" s="145">
        <v>29</v>
      </c>
      <c r="N137" s="70">
        <v>25</v>
      </c>
      <c r="O137" s="70">
        <v>26</v>
      </c>
      <c r="P137" s="70">
        <v>17</v>
      </c>
      <c r="Q137" s="70">
        <v>14</v>
      </c>
      <c r="R137" s="70">
        <v>8</v>
      </c>
      <c r="S137" s="70">
        <v>10</v>
      </c>
      <c r="T137" s="70">
        <v>11</v>
      </c>
      <c r="U137" s="70">
        <v>10</v>
      </c>
      <c r="V137" s="70">
        <v>16</v>
      </c>
      <c r="W137" s="43">
        <v>19</v>
      </c>
      <c r="X137" s="75">
        <v>16</v>
      </c>
      <c r="Y137" s="43">
        <v>20</v>
      </c>
      <c r="Z137" s="43">
        <v>13</v>
      </c>
      <c r="AA137" s="43">
        <v>21</v>
      </c>
      <c r="AB137" s="43">
        <v>34</v>
      </c>
      <c r="AC137" s="43">
        <v>0</v>
      </c>
      <c r="AD137" s="43">
        <v>0</v>
      </c>
      <c r="AE137" s="43">
        <v>50</v>
      </c>
      <c r="AF137" s="43">
        <v>47</v>
      </c>
      <c r="AG137" s="43">
        <v>69</v>
      </c>
      <c r="AH137" s="43">
        <v>67</v>
      </c>
      <c r="AI137" s="43">
        <v>43</v>
      </c>
      <c r="AJ137" s="43">
        <f>2+31</f>
        <v>33</v>
      </c>
      <c r="AK137" s="143">
        <v>31</v>
      </c>
      <c r="AL137" s="43">
        <v>29</v>
      </c>
      <c r="AM137" s="43">
        <v>46</v>
      </c>
      <c r="AN137" s="43"/>
      <c r="AO137" s="43">
        <v>76</v>
      </c>
      <c r="AP137" s="43">
        <v>105</v>
      </c>
      <c r="AQ137" s="43">
        <v>126</v>
      </c>
      <c r="AR137" s="43">
        <v>86</v>
      </c>
      <c r="AS137" s="43">
        <f>1+137</f>
        <v>138</v>
      </c>
      <c r="AT137" s="43">
        <v>158</v>
      </c>
      <c r="AU137" s="43">
        <v>181</v>
      </c>
      <c r="AV137" s="43">
        <v>205</v>
      </c>
      <c r="AW137" s="143">
        <v>123</v>
      </c>
      <c r="AX137" s="43">
        <v>113</v>
      </c>
      <c r="AY137" s="45">
        <v>123</v>
      </c>
      <c r="AZ137" s="45">
        <v>132</v>
      </c>
      <c r="BA137" s="36">
        <v>117</v>
      </c>
      <c r="BB137" s="36">
        <v>114</v>
      </c>
      <c r="BC137" s="43">
        <v>115</v>
      </c>
      <c r="BD137" s="131"/>
      <c r="BE137" s="131">
        <v>204</v>
      </c>
      <c r="BF137" s="82">
        <v>169</v>
      </c>
      <c r="BG137" s="43">
        <v>164</v>
      </c>
      <c r="BH137" s="43">
        <v>134</v>
      </c>
      <c r="BI137" s="165">
        <f t="shared" si="547"/>
        <v>92</v>
      </c>
      <c r="BJ137" s="100">
        <f t="shared" si="548"/>
        <v>84</v>
      </c>
      <c r="BK137" s="100">
        <f t="shared" si="549"/>
        <v>77</v>
      </c>
      <c r="BL137" s="100">
        <f t="shared" si="550"/>
        <v>132</v>
      </c>
      <c r="BM137" s="100">
        <f t="shared" si="550"/>
        <v>41</v>
      </c>
      <c r="BN137" s="100">
        <f t="shared" si="550"/>
        <v>9</v>
      </c>
      <c r="BO137" s="100">
        <f t="shared" si="550"/>
        <v>-11</v>
      </c>
      <c r="BP137" s="100">
        <f t="shared" si="551"/>
        <v>-86</v>
      </c>
      <c r="BQ137" s="100">
        <f t="shared" si="552"/>
        <v>66</v>
      </c>
      <c r="BR137" s="100">
        <f t="shared" si="553"/>
        <v>11</v>
      </c>
      <c r="BS137" s="100">
        <f t="shared" si="553"/>
        <v>-17</v>
      </c>
      <c r="BT137" s="200">
        <f t="shared" si="553"/>
        <v>-71</v>
      </c>
      <c r="BU137" s="145">
        <v>128</v>
      </c>
      <c r="BV137" s="70">
        <v>112</v>
      </c>
      <c r="BW137" s="70">
        <v>122</v>
      </c>
      <c r="BX137" s="70">
        <v>187</v>
      </c>
      <c r="BY137" s="70">
        <f>1+186</f>
        <v>187</v>
      </c>
      <c r="BZ137" s="224">
        <v>414</v>
      </c>
      <c r="CA137" s="43">
        <v>429</v>
      </c>
      <c r="CB137" s="43">
        <v>430</v>
      </c>
      <c r="CC137" s="131">
        <v>417</v>
      </c>
      <c r="CD137" s="82">
        <v>466</v>
      </c>
      <c r="CE137" s="43">
        <v>468</v>
      </c>
      <c r="CF137" s="75"/>
      <c r="CG137" s="165">
        <f t="shared" si="554"/>
        <v>36</v>
      </c>
      <c r="CH137" s="100">
        <f t="shared" si="555"/>
        <v>28</v>
      </c>
      <c r="CI137" s="100">
        <f t="shared" si="556"/>
        <v>45</v>
      </c>
      <c r="CJ137" s="100">
        <f t="shared" si="557"/>
        <v>55</v>
      </c>
      <c r="CK137" s="100">
        <f t="shared" si="558"/>
        <v>146</v>
      </c>
      <c r="CL137" s="100">
        <f t="shared" si="559"/>
        <v>405</v>
      </c>
      <c r="CM137" s="100">
        <f t="shared" si="560"/>
        <v>440</v>
      </c>
      <c r="CN137" s="100">
        <f t="shared" si="561"/>
        <v>516</v>
      </c>
      <c r="CO137" s="100">
        <f t="shared" si="562"/>
        <v>351</v>
      </c>
      <c r="CP137" s="100">
        <f t="shared" si="563"/>
        <v>455</v>
      </c>
      <c r="CQ137" s="100">
        <f t="shared" si="564"/>
        <v>485</v>
      </c>
      <c r="CR137" s="200">
        <f t="shared" si="565"/>
        <v>71</v>
      </c>
    </row>
    <row r="138" spans="1:96" x14ac:dyDescent="0.25">
      <c r="A138" s="49"/>
      <c r="B138" s="96" t="s">
        <v>36</v>
      </c>
      <c r="C138" s="145">
        <v>2</v>
      </c>
      <c r="D138" s="70">
        <v>2</v>
      </c>
      <c r="E138" s="70">
        <v>1</v>
      </c>
      <c r="F138" s="70">
        <v>0</v>
      </c>
      <c r="G138" s="70">
        <v>0</v>
      </c>
      <c r="H138" s="70">
        <v>0</v>
      </c>
      <c r="I138" s="70">
        <v>0</v>
      </c>
      <c r="J138" s="70">
        <v>0</v>
      </c>
      <c r="K138" s="70">
        <v>0</v>
      </c>
      <c r="L138" s="71">
        <v>0</v>
      </c>
      <c r="M138" s="145">
        <v>0</v>
      </c>
      <c r="N138" s="70">
        <v>0</v>
      </c>
      <c r="O138" s="70">
        <v>1</v>
      </c>
      <c r="P138" s="70">
        <v>2</v>
      </c>
      <c r="Q138" s="70">
        <v>3</v>
      </c>
      <c r="R138" s="70">
        <v>2</v>
      </c>
      <c r="S138" s="70">
        <v>2</v>
      </c>
      <c r="T138" s="70">
        <v>5</v>
      </c>
      <c r="U138" s="70">
        <v>10</v>
      </c>
      <c r="V138" s="70">
        <v>14</v>
      </c>
      <c r="W138" s="43">
        <v>11</v>
      </c>
      <c r="X138" s="75">
        <v>5</v>
      </c>
      <c r="Y138" s="43">
        <v>6</v>
      </c>
      <c r="Z138" s="43">
        <v>12</v>
      </c>
      <c r="AA138" s="43">
        <v>13</v>
      </c>
      <c r="AB138" s="43">
        <v>9</v>
      </c>
      <c r="AC138" s="43">
        <v>0</v>
      </c>
      <c r="AD138" s="43">
        <v>0</v>
      </c>
      <c r="AE138" s="43">
        <v>3</v>
      </c>
      <c r="AF138" s="43">
        <v>3</v>
      </c>
      <c r="AG138" s="43">
        <v>4</v>
      </c>
      <c r="AH138" s="43">
        <v>2</v>
      </c>
      <c r="AI138" s="43">
        <v>2</v>
      </c>
      <c r="AJ138" s="43">
        <f>1</f>
        <v>1</v>
      </c>
      <c r="AK138" s="143">
        <v>6</v>
      </c>
      <c r="AL138" s="43">
        <v>7</v>
      </c>
      <c r="AM138" s="43">
        <v>10</v>
      </c>
      <c r="AN138" s="43"/>
      <c r="AO138" s="43">
        <v>9</v>
      </c>
      <c r="AP138" s="43">
        <v>8</v>
      </c>
      <c r="AQ138" s="43">
        <v>8</v>
      </c>
      <c r="AR138" s="43">
        <v>5</v>
      </c>
      <c r="AS138" s="43">
        <v>5</v>
      </c>
      <c r="AT138" s="43">
        <v>5</v>
      </c>
      <c r="AU138" s="43">
        <v>7</v>
      </c>
      <c r="AV138" s="43">
        <v>7</v>
      </c>
      <c r="AW138" s="143">
        <v>3</v>
      </c>
      <c r="AX138" s="43">
        <v>9</v>
      </c>
      <c r="AY138" s="45">
        <v>11</v>
      </c>
      <c r="AZ138" s="45">
        <f>SUM(10+2)</f>
        <v>12</v>
      </c>
      <c r="BA138" s="36">
        <v>12</v>
      </c>
      <c r="BB138" s="36">
        <v>9</v>
      </c>
      <c r="BC138" s="43">
        <v>4</v>
      </c>
      <c r="BD138" s="131">
        <v>11</v>
      </c>
      <c r="BE138" s="131">
        <v>8</v>
      </c>
      <c r="BF138" s="82">
        <v>8</v>
      </c>
      <c r="BG138" s="43">
        <f>9+2</f>
        <v>11</v>
      </c>
      <c r="BH138" s="43">
        <v>10</v>
      </c>
      <c r="BI138" s="165">
        <f t="shared" si="547"/>
        <v>-3</v>
      </c>
      <c r="BJ138" s="100">
        <f t="shared" si="548"/>
        <v>2</v>
      </c>
      <c r="BK138" s="100">
        <f t="shared" si="549"/>
        <v>1</v>
      </c>
      <c r="BL138" s="100">
        <f t="shared" si="550"/>
        <v>12</v>
      </c>
      <c r="BM138" s="100">
        <f t="shared" si="550"/>
        <v>3</v>
      </c>
      <c r="BN138" s="100">
        <f t="shared" si="550"/>
        <v>1</v>
      </c>
      <c r="BO138" s="100">
        <f t="shared" si="550"/>
        <v>-4</v>
      </c>
      <c r="BP138" s="100">
        <f t="shared" si="551"/>
        <v>6</v>
      </c>
      <c r="BQ138" s="100">
        <f t="shared" si="552"/>
        <v>3</v>
      </c>
      <c r="BR138" s="100">
        <f t="shared" si="553"/>
        <v>3</v>
      </c>
      <c r="BS138" s="100">
        <f t="shared" si="553"/>
        <v>4</v>
      </c>
      <c r="BT138" s="200">
        <f t="shared" si="553"/>
        <v>3</v>
      </c>
      <c r="BU138" s="145">
        <v>6</v>
      </c>
      <c r="BV138" s="70">
        <v>6</v>
      </c>
      <c r="BW138" s="70">
        <v>8</v>
      </c>
      <c r="BX138" s="70">
        <v>6</v>
      </c>
      <c r="BY138" s="70">
        <f>6</f>
        <v>6</v>
      </c>
      <c r="BZ138" s="224">
        <v>4</v>
      </c>
      <c r="CA138" s="43">
        <v>3</v>
      </c>
      <c r="CB138" s="43">
        <v>7</v>
      </c>
      <c r="CC138" s="131">
        <v>6</v>
      </c>
      <c r="CD138" s="82">
        <v>6</v>
      </c>
      <c r="CE138" s="43">
        <v>6</v>
      </c>
      <c r="CF138" s="75"/>
      <c r="CG138" s="165">
        <f t="shared" si="554"/>
        <v>9</v>
      </c>
      <c r="CH138" s="100">
        <f t="shared" si="555"/>
        <v>4</v>
      </c>
      <c r="CI138" s="100">
        <f t="shared" si="556"/>
        <v>7</v>
      </c>
      <c r="CJ138" s="100">
        <f t="shared" si="557"/>
        <v>-6</v>
      </c>
      <c r="CK138" s="100">
        <f t="shared" si="558"/>
        <v>3</v>
      </c>
      <c r="CL138" s="100">
        <f t="shared" si="559"/>
        <v>3</v>
      </c>
      <c r="CM138" s="100">
        <f t="shared" si="560"/>
        <v>7</v>
      </c>
      <c r="CN138" s="100">
        <f t="shared" si="561"/>
        <v>1</v>
      </c>
      <c r="CO138" s="100">
        <f t="shared" si="562"/>
        <v>3</v>
      </c>
      <c r="CP138" s="100">
        <f t="shared" si="563"/>
        <v>3</v>
      </c>
      <c r="CQ138" s="100">
        <f t="shared" si="564"/>
        <v>2</v>
      </c>
      <c r="CR138" s="200">
        <f t="shared" si="565"/>
        <v>-3</v>
      </c>
    </row>
    <row r="139" spans="1:96" x14ac:dyDescent="0.25">
      <c r="A139" s="49"/>
      <c r="B139" s="96" t="s">
        <v>37</v>
      </c>
      <c r="C139" s="145">
        <v>0</v>
      </c>
      <c r="D139" s="70">
        <v>0</v>
      </c>
      <c r="E139" s="70">
        <v>0</v>
      </c>
      <c r="F139" s="70">
        <v>0</v>
      </c>
      <c r="G139" s="70">
        <v>0</v>
      </c>
      <c r="H139" s="70">
        <v>0</v>
      </c>
      <c r="I139" s="70">
        <v>0</v>
      </c>
      <c r="J139" s="70">
        <v>0</v>
      </c>
      <c r="K139" s="70">
        <v>0</v>
      </c>
      <c r="L139" s="71">
        <v>0</v>
      </c>
      <c r="M139" s="145">
        <v>0</v>
      </c>
      <c r="N139" s="70">
        <v>0</v>
      </c>
      <c r="O139" s="70">
        <v>0</v>
      </c>
      <c r="P139" s="70">
        <v>0</v>
      </c>
      <c r="Q139" s="70">
        <v>0</v>
      </c>
      <c r="R139" s="70">
        <v>0</v>
      </c>
      <c r="S139" s="70">
        <v>0</v>
      </c>
      <c r="T139" s="70">
        <v>0</v>
      </c>
      <c r="U139" s="70">
        <v>2</v>
      </c>
      <c r="V139" s="70">
        <v>3</v>
      </c>
      <c r="W139" s="43">
        <v>4</v>
      </c>
      <c r="X139" s="75">
        <v>2</v>
      </c>
      <c r="Y139" s="43">
        <v>3</v>
      </c>
      <c r="Z139" s="43">
        <v>0</v>
      </c>
      <c r="AA139" s="43">
        <v>2</v>
      </c>
      <c r="AB139" s="43">
        <v>2</v>
      </c>
      <c r="AC139" s="43">
        <v>0</v>
      </c>
      <c r="AD139" s="43">
        <v>0</v>
      </c>
      <c r="AE139" s="43">
        <v>0</v>
      </c>
      <c r="AF139" s="43">
        <v>0</v>
      </c>
      <c r="AG139" s="43">
        <v>1</v>
      </c>
      <c r="AH139" s="43">
        <v>0</v>
      </c>
      <c r="AI139" s="43">
        <v>0</v>
      </c>
      <c r="AJ139" s="43">
        <v>0</v>
      </c>
      <c r="AK139" s="143">
        <v>0</v>
      </c>
      <c r="AL139" s="43">
        <v>0</v>
      </c>
      <c r="AM139" s="43">
        <v>1</v>
      </c>
      <c r="AN139" s="43"/>
      <c r="AO139" s="43">
        <v>2</v>
      </c>
      <c r="AP139" s="43">
        <v>2</v>
      </c>
      <c r="AQ139" s="43">
        <v>4</v>
      </c>
      <c r="AR139" s="43">
        <v>4</v>
      </c>
      <c r="AS139" s="43">
        <v>3</v>
      </c>
      <c r="AT139" s="43">
        <v>4</v>
      </c>
      <c r="AU139" s="43">
        <v>5</v>
      </c>
      <c r="AV139" s="43">
        <v>5</v>
      </c>
      <c r="AW139" s="143">
        <v>5</v>
      </c>
      <c r="AX139" s="43">
        <v>5</v>
      </c>
      <c r="AY139" s="45">
        <v>5</v>
      </c>
      <c r="AZ139" s="45">
        <v>5</v>
      </c>
      <c r="BA139" s="36">
        <v>4</v>
      </c>
      <c r="BB139" s="36">
        <v>5</v>
      </c>
      <c r="BC139" s="43">
        <v>2</v>
      </c>
      <c r="BD139" s="131">
        <v>4</v>
      </c>
      <c r="BE139" s="131">
        <v>4</v>
      </c>
      <c r="BF139" s="82">
        <v>4</v>
      </c>
      <c r="BG139" s="43">
        <v>3</v>
      </c>
      <c r="BH139" s="43">
        <v>2</v>
      </c>
      <c r="BI139" s="165">
        <f t="shared" si="547"/>
        <v>5</v>
      </c>
      <c r="BJ139" s="100">
        <f t="shared" si="548"/>
        <v>5</v>
      </c>
      <c r="BK139" s="100">
        <f t="shared" si="549"/>
        <v>4</v>
      </c>
      <c r="BL139" s="100">
        <f t="shared" si="550"/>
        <v>5</v>
      </c>
      <c r="BM139" s="100">
        <f t="shared" si="550"/>
        <v>2</v>
      </c>
      <c r="BN139" s="100">
        <f t="shared" si="550"/>
        <v>3</v>
      </c>
      <c r="BO139" s="100">
        <f t="shared" si="550"/>
        <v>-2</v>
      </c>
      <c r="BP139" s="100">
        <f t="shared" si="551"/>
        <v>0</v>
      </c>
      <c r="BQ139" s="100">
        <f t="shared" si="552"/>
        <v>1</v>
      </c>
      <c r="BR139" s="100">
        <f t="shared" si="553"/>
        <v>0</v>
      </c>
      <c r="BS139" s="100">
        <f t="shared" si="553"/>
        <v>-2</v>
      </c>
      <c r="BT139" s="200">
        <f t="shared" si="553"/>
        <v>-3</v>
      </c>
      <c r="BU139" s="145">
        <v>2</v>
      </c>
      <c r="BV139" s="70">
        <v>2</v>
      </c>
      <c r="BW139" s="70">
        <v>1</v>
      </c>
      <c r="BX139" s="70">
        <v>2</v>
      </c>
      <c r="BY139" s="70">
        <f>1+1</f>
        <v>2</v>
      </c>
      <c r="BZ139" s="224">
        <v>2</v>
      </c>
      <c r="CA139" s="43">
        <v>2</v>
      </c>
      <c r="CB139" s="43">
        <v>2</v>
      </c>
      <c r="CC139" s="131">
        <v>2</v>
      </c>
      <c r="CD139" s="82">
        <v>2</v>
      </c>
      <c r="CE139" s="43">
        <v>2</v>
      </c>
      <c r="CF139" s="75"/>
      <c r="CG139" s="165">
        <f t="shared" si="554"/>
        <v>-3</v>
      </c>
      <c r="CH139" s="100">
        <f t="shared" si="555"/>
        <v>-3</v>
      </c>
      <c r="CI139" s="100">
        <f t="shared" si="556"/>
        <v>-3</v>
      </c>
      <c r="CJ139" s="100">
        <f t="shared" si="557"/>
        <v>-3</v>
      </c>
      <c r="CK139" s="100">
        <f t="shared" si="558"/>
        <v>0</v>
      </c>
      <c r="CL139" s="100">
        <f t="shared" si="559"/>
        <v>-1</v>
      </c>
      <c r="CM139" s="100">
        <f t="shared" si="560"/>
        <v>4</v>
      </c>
      <c r="CN139" s="100">
        <f t="shared" si="561"/>
        <v>2</v>
      </c>
      <c r="CO139" s="100">
        <f t="shared" si="562"/>
        <v>1</v>
      </c>
      <c r="CP139" s="100">
        <f t="shared" si="563"/>
        <v>2</v>
      </c>
      <c r="CQ139" s="100">
        <f t="shared" si="564"/>
        <v>4</v>
      </c>
      <c r="CR139" s="200">
        <f t="shared" si="565"/>
        <v>3</v>
      </c>
    </row>
    <row r="140" spans="1:96" x14ac:dyDescent="0.25">
      <c r="A140" s="49"/>
      <c r="B140" s="96" t="s">
        <v>38</v>
      </c>
      <c r="C140" s="145">
        <v>0</v>
      </c>
      <c r="D140" s="70">
        <v>0</v>
      </c>
      <c r="E140" s="70">
        <v>0</v>
      </c>
      <c r="F140" s="70">
        <v>0</v>
      </c>
      <c r="G140" s="70">
        <v>0</v>
      </c>
      <c r="H140" s="70">
        <v>0</v>
      </c>
      <c r="I140" s="70">
        <v>0</v>
      </c>
      <c r="J140" s="70">
        <v>0</v>
      </c>
      <c r="K140" s="70">
        <v>0</v>
      </c>
      <c r="L140" s="71">
        <v>0</v>
      </c>
      <c r="M140" s="145">
        <v>0</v>
      </c>
      <c r="N140" s="70">
        <v>0</v>
      </c>
      <c r="O140" s="70">
        <v>0</v>
      </c>
      <c r="P140" s="70">
        <v>0</v>
      </c>
      <c r="Q140" s="70">
        <v>0</v>
      </c>
      <c r="R140" s="70">
        <v>0</v>
      </c>
      <c r="S140" s="70">
        <v>0</v>
      </c>
      <c r="T140" s="70">
        <v>0</v>
      </c>
      <c r="U140" s="70">
        <v>0</v>
      </c>
      <c r="V140" s="70">
        <v>0</v>
      </c>
      <c r="W140" s="70">
        <v>0</v>
      </c>
      <c r="X140" s="71">
        <v>0</v>
      </c>
      <c r="Y140" s="70">
        <v>0</v>
      </c>
      <c r="Z140" s="70">
        <v>0</v>
      </c>
      <c r="AA140" s="70">
        <v>0</v>
      </c>
      <c r="AB140" s="43">
        <v>0</v>
      </c>
      <c r="AC140" s="70">
        <v>0</v>
      </c>
      <c r="AD140" s="70">
        <v>0</v>
      </c>
      <c r="AE140" s="70">
        <v>0</v>
      </c>
      <c r="AF140" s="70">
        <v>0</v>
      </c>
      <c r="AG140" s="70">
        <v>0</v>
      </c>
      <c r="AH140" s="70">
        <v>0</v>
      </c>
      <c r="AI140" s="70">
        <v>0</v>
      </c>
      <c r="AJ140" s="70">
        <v>0</v>
      </c>
      <c r="AK140" s="145">
        <v>0</v>
      </c>
      <c r="AL140" s="70">
        <v>0</v>
      </c>
      <c r="AM140" s="70">
        <v>0</v>
      </c>
      <c r="AN140" s="70"/>
      <c r="AO140" s="70">
        <v>0</v>
      </c>
      <c r="AP140" s="70">
        <v>0</v>
      </c>
      <c r="AQ140" s="70">
        <v>0</v>
      </c>
      <c r="AR140" s="70">
        <v>0</v>
      </c>
      <c r="AS140" s="70">
        <v>0</v>
      </c>
      <c r="AT140" s="70">
        <v>0</v>
      </c>
      <c r="AU140" s="70">
        <v>0</v>
      </c>
      <c r="AV140" s="70">
        <v>0</v>
      </c>
      <c r="AW140" s="143">
        <v>0</v>
      </c>
      <c r="AX140" s="43">
        <v>0</v>
      </c>
      <c r="AY140" s="45">
        <v>0</v>
      </c>
      <c r="AZ140" s="45">
        <v>0</v>
      </c>
      <c r="BA140" s="36">
        <v>0</v>
      </c>
      <c r="BB140" s="36">
        <v>0</v>
      </c>
      <c r="BC140" s="43">
        <v>0</v>
      </c>
      <c r="BD140" s="131">
        <v>0</v>
      </c>
      <c r="BE140" s="131">
        <v>0</v>
      </c>
      <c r="BF140" s="82">
        <v>0</v>
      </c>
      <c r="BG140" s="43">
        <v>0</v>
      </c>
      <c r="BH140" s="43">
        <v>0</v>
      </c>
      <c r="BI140" s="165">
        <f t="shared" si="547"/>
        <v>0</v>
      </c>
      <c r="BJ140" s="100">
        <f t="shared" si="548"/>
        <v>0</v>
      </c>
      <c r="BK140" s="100">
        <f t="shared" si="549"/>
        <v>0</v>
      </c>
      <c r="BL140" s="100">
        <f t="shared" si="550"/>
        <v>0</v>
      </c>
      <c r="BM140" s="100">
        <f t="shared" si="550"/>
        <v>0</v>
      </c>
      <c r="BN140" s="100">
        <f t="shared" si="550"/>
        <v>0</v>
      </c>
      <c r="BO140" s="100">
        <f t="shared" si="550"/>
        <v>0</v>
      </c>
      <c r="BP140" s="100">
        <f t="shared" si="551"/>
        <v>0</v>
      </c>
      <c r="BQ140" s="100">
        <f t="shared" si="552"/>
        <v>0</v>
      </c>
      <c r="BR140" s="100">
        <f t="shared" si="553"/>
        <v>0</v>
      </c>
      <c r="BS140" s="100">
        <f t="shared" si="553"/>
        <v>0</v>
      </c>
      <c r="BT140" s="200">
        <f t="shared" si="553"/>
        <v>0</v>
      </c>
      <c r="BU140" s="145">
        <v>0</v>
      </c>
      <c r="BV140" s="70">
        <v>0</v>
      </c>
      <c r="BW140" s="70">
        <v>0</v>
      </c>
      <c r="BX140" s="70">
        <v>0</v>
      </c>
      <c r="BY140" s="70">
        <v>0</v>
      </c>
      <c r="BZ140" s="224">
        <v>0</v>
      </c>
      <c r="CA140" s="43">
        <v>0</v>
      </c>
      <c r="CB140" s="131">
        <v>0</v>
      </c>
      <c r="CC140" s="131">
        <v>0</v>
      </c>
      <c r="CD140" s="82">
        <v>0</v>
      </c>
      <c r="CE140" s="43">
        <v>0</v>
      </c>
      <c r="CF140" s="75"/>
      <c r="CG140" s="165">
        <f t="shared" si="554"/>
        <v>0</v>
      </c>
      <c r="CH140" s="100">
        <f t="shared" si="555"/>
        <v>0</v>
      </c>
      <c r="CI140" s="100">
        <f t="shared" si="556"/>
        <v>0</v>
      </c>
      <c r="CJ140" s="100">
        <f t="shared" si="557"/>
        <v>0</v>
      </c>
      <c r="CK140" s="100">
        <f t="shared" si="558"/>
        <v>0</v>
      </c>
      <c r="CL140" s="100">
        <f t="shared" si="559"/>
        <v>0</v>
      </c>
      <c r="CM140" s="100">
        <f t="shared" si="560"/>
        <v>0</v>
      </c>
      <c r="CN140" s="100">
        <f t="shared" si="561"/>
        <v>0</v>
      </c>
      <c r="CO140" s="100">
        <f t="shared" si="562"/>
        <v>0</v>
      </c>
      <c r="CP140" s="100">
        <f t="shared" si="563"/>
        <v>0</v>
      </c>
      <c r="CQ140" s="100">
        <f t="shared" si="564"/>
        <v>0</v>
      </c>
      <c r="CR140" s="200">
        <f t="shared" si="565"/>
        <v>0</v>
      </c>
    </row>
    <row r="141" spans="1:96" ht="15.75" thickBot="1" x14ac:dyDescent="0.3">
      <c r="A141" s="49"/>
      <c r="B141" s="120" t="s">
        <v>39</v>
      </c>
      <c r="C141" s="146">
        <f t="shared" ref="C141:AC141" si="566">SUM(C136:C140)</f>
        <v>644</v>
      </c>
      <c r="D141" s="121">
        <f t="shared" si="566"/>
        <v>958</v>
      </c>
      <c r="E141" s="121">
        <f t="shared" si="566"/>
        <v>1180</v>
      </c>
      <c r="F141" s="121">
        <f t="shared" si="566"/>
        <v>1136</v>
      </c>
      <c r="G141" s="121">
        <f t="shared" si="566"/>
        <v>899</v>
      </c>
      <c r="H141" s="121">
        <f t="shared" si="566"/>
        <v>723</v>
      </c>
      <c r="I141" s="121">
        <f t="shared" si="566"/>
        <v>531</v>
      </c>
      <c r="J141" s="121">
        <f t="shared" si="566"/>
        <v>404</v>
      </c>
      <c r="K141" s="121">
        <f t="shared" si="566"/>
        <v>355</v>
      </c>
      <c r="L141" s="147">
        <f t="shared" si="566"/>
        <v>169</v>
      </c>
      <c r="M141" s="146">
        <f t="shared" si="566"/>
        <v>195</v>
      </c>
      <c r="N141" s="121">
        <f t="shared" si="566"/>
        <v>377</v>
      </c>
      <c r="O141" s="121">
        <f t="shared" si="566"/>
        <v>365</v>
      </c>
      <c r="P141" s="121">
        <f t="shared" si="566"/>
        <v>154</v>
      </c>
      <c r="Q141" s="121">
        <f t="shared" si="566"/>
        <v>134</v>
      </c>
      <c r="R141" s="121">
        <f t="shared" si="566"/>
        <v>164</v>
      </c>
      <c r="S141" s="121">
        <f t="shared" si="566"/>
        <v>114</v>
      </c>
      <c r="T141" s="121">
        <f t="shared" si="566"/>
        <v>117</v>
      </c>
      <c r="U141" s="121">
        <f t="shared" si="566"/>
        <v>100</v>
      </c>
      <c r="V141" s="121">
        <f t="shared" si="566"/>
        <v>235</v>
      </c>
      <c r="W141" s="121">
        <f t="shared" si="566"/>
        <v>451</v>
      </c>
      <c r="X141" s="147">
        <f t="shared" si="566"/>
        <v>219</v>
      </c>
      <c r="Y141" s="121">
        <f t="shared" si="566"/>
        <v>155</v>
      </c>
      <c r="Z141" s="121">
        <f t="shared" si="566"/>
        <v>159</v>
      </c>
      <c r="AA141" s="121">
        <f t="shared" si="566"/>
        <v>200</v>
      </c>
      <c r="AB141" s="121">
        <f t="shared" si="566"/>
        <v>220</v>
      </c>
      <c r="AC141" s="121">
        <f t="shared" si="566"/>
        <v>245</v>
      </c>
      <c r="AD141" s="121">
        <f t="shared" ref="AD141:AI141" si="567">SUM(AD136:AD140)</f>
        <v>505</v>
      </c>
      <c r="AE141" s="121">
        <f t="shared" si="567"/>
        <v>359</v>
      </c>
      <c r="AF141" s="121">
        <f t="shared" si="567"/>
        <v>313</v>
      </c>
      <c r="AG141" s="121">
        <f t="shared" si="567"/>
        <v>467</v>
      </c>
      <c r="AH141" s="121">
        <f t="shared" si="567"/>
        <v>408</v>
      </c>
      <c r="AI141" s="121">
        <f t="shared" si="567"/>
        <v>299</v>
      </c>
      <c r="AJ141" s="121">
        <f>SUM(AJ136:AJ140)</f>
        <v>233</v>
      </c>
      <c r="AK141" s="146">
        <f>SUM(AK136:AK140)</f>
        <v>293</v>
      </c>
      <c r="AL141" s="121">
        <f>SUM(AL136:AL140)</f>
        <v>316</v>
      </c>
      <c r="AM141" s="121">
        <f>SUM(AM136:AM140)</f>
        <v>397</v>
      </c>
      <c r="AN141" s="121"/>
      <c r="AO141" s="121">
        <f t="shared" ref="AO141:AT141" si="568">SUM(AO136:AO140)</f>
        <v>430</v>
      </c>
      <c r="AP141" s="121">
        <f t="shared" si="568"/>
        <v>592</v>
      </c>
      <c r="AQ141" s="121">
        <f t="shared" si="568"/>
        <v>737</v>
      </c>
      <c r="AR141" s="121">
        <f t="shared" si="568"/>
        <v>561</v>
      </c>
      <c r="AS141" s="121">
        <f t="shared" si="568"/>
        <v>660</v>
      </c>
      <c r="AT141" s="121">
        <f t="shared" si="568"/>
        <v>761</v>
      </c>
      <c r="AU141" s="121">
        <f t="shared" ref="AU141:BB141" si="569">SUM(AU136:AU140)</f>
        <v>820</v>
      </c>
      <c r="AV141" s="121">
        <f t="shared" si="569"/>
        <v>828</v>
      </c>
      <c r="AW141" s="176">
        <f t="shared" si="569"/>
        <v>400</v>
      </c>
      <c r="AX141" s="162">
        <f t="shared" si="569"/>
        <v>366</v>
      </c>
      <c r="AY141" s="113">
        <f t="shared" si="569"/>
        <v>417</v>
      </c>
      <c r="AZ141" s="113">
        <f t="shared" si="569"/>
        <v>436</v>
      </c>
      <c r="BA141" s="113">
        <f t="shared" si="569"/>
        <v>507</v>
      </c>
      <c r="BB141" s="113">
        <f t="shared" si="569"/>
        <v>369</v>
      </c>
      <c r="BC141" s="162">
        <f t="shared" ref="BC141:BH141" si="570">SUM(BC136:BC140)</f>
        <v>718</v>
      </c>
      <c r="BD141" s="198">
        <f t="shared" si="570"/>
        <v>1064</v>
      </c>
      <c r="BE141" s="199">
        <f t="shared" si="570"/>
        <v>1077</v>
      </c>
      <c r="BF141" s="198">
        <f t="shared" si="570"/>
        <v>974</v>
      </c>
      <c r="BG141" s="162">
        <f t="shared" si="570"/>
        <v>979</v>
      </c>
      <c r="BH141" s="162">
        <f t="shared" si="570"/>
        <v>767</v>
      </c>
      <c r="BI141" s="166">
        <f t="shared" si="547"/>
        <v>107</v>
      </c>
      <c r="BJ141" s="102">
        <f t="shared" si="548"/>
        <v>50</v>
      </c>
      <c r="BK141" s="102">
        <f t="shared" si="549"/>
        <v>20</v>
      </c>
      <c r="BL141" s="102">
        <f t="shared" si="550"/>
        <v>436</v>
      </c>
      <c r="BM141" s="102">
        <f t="shared" si="550"/>
        <v>77</v>
      </c>
      <c r="BN141" s="102">
        <f t="shared" si="550"/>
        <v>-223</v>
      </c>
      <c r="BO141" s="102">
        <f t="shared" si="550"/>
        <v>-19</v>
      </c>
      <c r="BP141" s="102">
        <f t="shared" si="551"/>
        <v>503</v>
      </c>
      <c r="BQ141" s="102">
        <f t="shared" si="552"/>
        <v>417</v>
      </c>
      <c r="BR141" s="102">
        <f t="shared" si="553"/>
        <v>213</v>
      </c>
      <c r="BS141" s="102">
        <f t="shared" si="553"/>
        <v>159</v>
      </c>
      <c r="BT141" s="202">
        <f t="shared" si="553"/>
        <v>-61</v>
      </c>
      <c r="BU141" s="146">
        <f t="shared" ref="BU141:CF141" si="571">SUM(BU136:BU140)</f>
        <v>543</v>
      </c>
      <c r="BV141" s="121">
        <f t="shared" si="571"/>
        <v>516</v>
      </c>
      <c r="BW141" s="121">
        <f t="shared" si="571"/>
        <v>613</v>
      </c>
      <c r="BX141" s="121">
        <f t="shared" si="571"/>
        <v>886</v>
      </c>
      <c r="BY141" s="121">
        <f t="shared" si="571"/>
        <v>886</v>
      </c>
      <c r="BZ141" s="226">
        <v>1487</v>
      </c>
      <c r="CA141" s="162">
        <f t="shared" si="571"/>
        <v>1450</v>
      </c>
      <c r="CB141" s="198">
        <f t="shared" si="571"/>
        <v>1342</v>
      </c>
      <c r="CC141" s="199">
        <f t="shared" si="571"/>
        <v>1242</v>
      </c>
      <c r="CD141" s="198">
        <f t="shared" si="571"/>
        <v>1218</v>
      </c>
      <c r="CE141" s="198">
        <f t="shared" si="571"/>
        <v>1221</v>
      </c>
      <c r="CF141" s="217">
        <f t="shared" si="571"/>
        <v>0</v>
      </c>
      <c r="CG141" s="166">
        <f t="shared" si="554"/>
        <v>436</v>
      </c>
      <c r="CH141" s="102">
        <f t="shared" si="555"/>
        <v>466</v>
      </c>
      <c r="CI141" s="102">
        <f t="shared" si="556"/>
        <v>593</v>
      </c>
      <c r="CJ141" s="102">
        <f t="shared" si="557"/>
        <v>450</v>
      </c>
      <c r="CK141" s="102">
        <f t="shared" si="558"/>
        <v>809</v>
      </c>
      <c r="CL141" s="102">
        <f t="shared" si="559"/>
        <v>1710</v>
      </c>
      <c r="CM141" s="102">
        <f t="shared" si="560"/>
        <v>1469</v>
      </c>
      <c r="CN141" s="102">
        <f t="shared" si="561"/>
        <v>839</v>
      </c>
      <c r="CO141" s="102">
        <f t="shared" si="562"/>
        <v>825</v>
      </c>
      <c r="CP141" s="102">
        <f t="shared" si="563"/>
        <v>1005</v>
      </c>
      <c r="CQ141" s="102">
        <f t="shared" si="564"/>
        <v>1062</v>
      </c>
      <c r="CR141" s="202">
        <f t="shared" si="565"/>
        <v>61</v>
      </c>
    </row>
    <row r="142" spans="1:96" x14ac:dyDescent="0.25">
      <c r="A142" s="49"/>
      <c r="X142" s="44"/>
      <c r="Y142" s="44"/>
    </row>
    <row r="143" spans="1:96" x14ac:dyDescent="0.25">
      <c r="B143" s="77" t="s">
        <v>26</v>
      </c>
      <c r="X143" s="44"/>
      <c r="Y143" s="44"/>
    </row>
    <row r="144" spans="1:96" x14ac:dyDescent="0.25">
      <c r="B144" s="27"/>
      <c r="C144" s="240"/>
      <c r="D144" s="240"/>
      <c r="E144" s="240"/>
      <c r="F144" s="240"/>
      <c r="G144" s="240"/>
      <c r="H144" s="240"/>
      <c r="I144" s="240"/>
      <c r="J144" s="240"/>
      <c r="K144" s="240"/>
      <c r="L144" s="240"/>
      <c r="N144" s="231"/>
      <c r="O144" s="231"/>
      <c r="P144" s="231"/>
      <c r="Q144" s="231"/>
      <c r="R144" s="231"/>
      <c r="S144" s="78"/>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X144" s="235"/>
      <c r="AY144" s="235"/>
      <c r="AZ144" s="235"/>
      <c r="BA144" s="235"/>
      <c r="BB144" s="235"/>
      <c r="BD144" s="234"/>
      <c r="BE144" s="234"/>
      <c r="BF144" s="234"/>
      <c r="BG144" s="234"/>
      <c r="BH144" s="234"/>
      <c r="BI144" s="231"/>
      <c r="BJ144" s="231"/>
      <c r="BK144" s="231"/>
      <c r="BL144" s="231"/>
      <c r="BM144" s="231"/>
      <c r="BV144" s="235"/>
      <c r="BW144" s="235"/>
      <c r="BX144" s="235"/>
      <c r="BY144" s="235"/>
      <c r="BZ144" s="235"/>
      <c r="CB144" s="234"/>
      <c r="CC144" s="234"/>
      <c r="CD144" s="234"/>
      <c r="CE144" s="234"/>
      <c r="CF144" s="234"/>
      <c r="CG144" s="231"/>
      <c r="CH144" s="231"/>
      <c r="CI144" s="231"/>
      <c r="CJ144" s="231"/>
      <c r="CK144" s="231"/>
    </row>
    <row r="147" spans="2:48" x14ac:dyDescent="0.25">
      <c r="B147" s="18" t="s">
        <v>25</v>
      </c>
    </row>
    <row r="148" spans="2:48" x14ac:dyDescent="0.25">
      <c r="B148" s="80"/>
      <c r="C148" s="230" t="s">
        <v>47</v>
      </c>
      <c r="D148" s="230"/>
      <c r="E148" s="230"/>
      <c r="F148" s="230"/>
      <c r="G148" s="230"/>
      <c r="H148" s="230"/>
      <c r="I148" s="230"/>
      <c r="J148" s="230"/>
      <c r="K148" s="230"/>
      <c r="L148" s="230"/>
      <c r="M148" s="231" t="s">
        <v>48</v>
      </c>
      <c r="N148" s="231"/>
      <c r="O148" s="231"/>
      <c r="P148" s="231"/>
      <c r="R148" s="231" t="s">
        <v>50</v>
      </c>
      <c r="S148" s="231"/>
      <c r="T148" s="231"/>
      <c r="U148" s="231"/>
      <c r="V148" s="231"/>
      <c r="Y148" s="227" t="s">
        <v>52</v>
      </c>
      <c r="Z148" s="228"/>
      <c r="AA148" s="228"/>
      <c r="AB148" s="228"/>
      <c r="AC148" s="229"/>
      <c r="AD148" s="81"/>
      <c r="AE148" s="81"/>
      <c r="AF148" s="81"/>
      <c r="AG148" s="81"/>
      <c r="AH148" s="81"/>
      <c r="AI148" s="81"/>
      <c r="AJ148" s="81"/>
      <c r="AK148" s="81"/>
      <c r="AL148" s="81"/>
      <c r="AM148" s="81"/>
      <c r="AN148" s="81"/>
      <c r="AO148" s="81"/>
      <c r="AP148" s="81"/>
      <c r="AQ148" s="81"/>
      <c r="AR148" s="81"/>
      <c r="AS148" s="81"/>
      <c r="AT148" s="81"/>
      <c r="AU148" s="81"/>
      <c r="AV148" s="81"/>
    </row>
    <row r="149" spans="2:48" x14ac:dyDescent="0.25">
      <c r="B149" s="80"/>
      <c r="C149" s="230"/>
      <c r="D149" s="230"/>
      <c r="E149" s="230"/>
      <c r="F149" s="230"/>
      <c r="G149" s="230"/>
      <c r="H149" s="230"/>
      <c r="I149" s="230"/>
      <c r="J149" s="230"/>
      <c r="K149" s="230"/>
      <c r="L149" s="230"/>
    </row>
    <row r="150" spans="2:48" x14ac:dyDescent="0.25">
      <c r="B150" s="80"/>
      <c r="C150" s="230"/>
      <c r="D150" s="230"/>
      <c r="E150" s="230"/>
      <c r="F150" s="230"/>
      <c r="G150" s="230"/>
      <c r="H150" s="230"/>
      <c r="I150" s="230"/>
      <c r="J150" s="230"/>
      <c r="K150" s="230"/>
      <c r="L150" s="230"/>
    </row>
    <row r="151" spans="2:48" x14ac:dyDescent="0.25">
      <c r="B151" s="80"/>
      <c r="C151" s="230"/>
      <c r="D151" s="230"/>
      <c r="E151" s="230"/>
      <c r="F151" s="230"/>
      <c r="G151" s="230"/>
      <c r="H151" s="230"/>
      <c r="I151" s="230"/>
      <c r="J151" s="230"/>
      <c r="K151" s="230"/>
      <c r="L151" s="230"/>
    </row>
  </sheetData>
  <mergeCells count="23">
    <mergeCell ref="CG144:CK144"/>
    <mergeCell ref="BU2:CA2"/>
    <mergeCell ref="BU3:CA3"/>
    <mergeCell ref="BU4:CA4"/>
    <mergeCell ref="BV144:BZ144"/>
    <mergeCell ref="CB144:CF144"/>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2"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Y151"/>
  <sheetViews>
    <sheetView zoomScale="90" zoomScaleNormal="90" workbookViewId="0">
      <pane xSplit="1" ySplit="8" topLeftCell="DB9" activePane="bottomRight" state="frozen"/>
      <selection pane="topRight" activeCell="B1" sqref="B1"/>
      <selection pane="bottomLeft" activeCell="A9" sqref="A9"/>
      <selection pane="bottomRight" activeCell="DL147" sqref="DL147"/>
    </sheetView>
  </sheetViews>
  <sheetFormatPr defaultColWidth="9.28515625" defaultRowHeight="15" x14ac:dyDescent="0.25"/>
  <cols>
    <col min="1" max="1" width="81" bestFit="1" customWidth="1"/>
    <col min="2" max="93" width="15.5703125" hidden="1" customWidth="1"/>
    <col min="94" max="95" width="12" style="47" hidden="1" customWidth="1"/>
    <col min="96" max="97" width="11.5703125" style="47" hidden="1" customWidth="1"/>
    <col min="98" max="99" width="11.140625" style="47" hidden="1" customWidth="1"/>
    <col min="100" max="100" width="10.7109375" style="47" hidden="1" customWidth="1"/>
    <col min="101" max="101" width="11.5703125" style="47" hidden="1" customWidth="1"/>
    <col min="102" max="102" width="13.85546875" style="47" hidden="1" customWidth="1"/>
    <col min="103" max="103" width="11.140625" style="47" hidden="1" customWidth="1"/>
    <col min="104" max="104" width="13" style="47" hidden="1" customWidth="1"/>
    <col min="105" max="105" width="13.140625" style="47" hidden="1" customWidth="1"/>
    <col min="106" max="117" width="15.5703125" customWidth="1"/>
    <col min="118" max="119" width="12" style="47" bestFit="1" customWidth="1"/>
    <col min="120" max="120" width="12.42578125" style="47" customWidth="1"/>
    <col min="121" max="121" width="15.42578125" style="47" customWidth="1"/>
    <col min="122" max="122" width="13.5703125" style="47" customWidth="1"/>
    <col min="123" max="123" width="11.140625" style="47" bestFit="1" customWidth="1"/>
    <col min="124" max="124" width="13.5703125" style="47" customWidth="1"/>
    <col min="125" max="125" width="11.5703125" style="47" bestFit="1" customWidth="1"/>
    <col min="126" max="126" width="13.85546875" style="47" bestFit="1" customWidth="1"/>
    <col min="127" max="127" width="11.140625" style="47" bestFit="1" customWidth="1"/>
    <col min="128" max="128" width="13" style="47" bestFit="1" customWidth="1"/>
    <col min="129" max="129" width="13.140625" style="47" bestFit="1" customWidth="1"/>
  </cols>
  <sheetData>
    <row r="1" spans="1:129" ht="16.5" thickTop="1" thickBot="1" x14ac:dyDescent="0.3">
      <c r="A1" s="29" t="s">
        <v>18</v>
      </c>
      <c r="B1" s="204"/>
      <c r="C1" s="204"/>
      <c r="D1" s="204"/>
      <c r="E1" s="204"/>
      <c r="F1" s="31"/>
      <c r="G1" s="31"/>
      <c r="H1" s="31"/>
      <c r="I1" s="31"/>
      <c r="J1" s="32"/>
      <c r="K1" s="33"/>
      <c r="L1" s="204"/>
      <c r="M1" s="204"/>
      <c r="N1" s="204"/>
      <c r="O1" s="204"/>
      <c r="P1" s="31"/>
      <c r="Q1" s="31"/>
      <c r="R1" s="31"/>
      <c r="S1" s="31"/>
      <c r="T1" s="32"/>
      <c r="U1" s="33"/>
      <c r="V1" s="33"/>
      <c r="W1" s="33"/>
      <c r="X1" s="204"/>
      <c r="Y1" s="204"/>
      <c r="Z1" s="31"/>
      <c r="AA1" s="31"/>
      <c r="AB1" s="31"/>
      <c r="AC1" s="31"/>
      <c r="AD1" s="32"/>
      <c r="AE1" s="33"/>
      <c r="AF1" s="33"/>
      <c r="AG1" s="33"/>
      <c r="AH1" s="204"/>
      <c r="AI1" s="204"/>
      <c r="AJ1" s="204"/>
      <c r="AK1" s="204"/>
      <c r="AL1" s="31"/>
      <c r="AM1" s="31"/>
      <c r="AN1" s="31"/>
      <c r="AO1" s="31"/>
      <c r="AP1" s="32"/>
      <c r="AQ1" s="33"/>
      <c r="AR1" s="33"/>
      <c r="AS1" s="33"/>
      <c r="AT1" s="204"/>
      <c r="AU1" s="204"/>
      <c r="AV1" s="204"/>
      <c r="AW1" s="204"/>
      <c r="AX1" s="31"/>
      <c r="AY1" s="31"/>
      <c r="AZ1" s="31"/>
      <c r="BA1" s="31"/>
      <c r="BB1" s="32"/>
      <c r="BC1" s="33"/>
      <c r="BD1" s="33"/>
      <c r="BE1" s="33"/>
      <c r="BF1" s="204"/>
      <c r="BG1" s="204"/>
      <c r="BH1" s="204"/>
      <c r="BI1" s="204"/>
      <c r="BJ1" s="31"/>
      <c r="BK1" s="31"/>
      <c r="BL1" s="31"/>
      <c r="BM1" s="31"/>
      <c r="BN1" s="32"/>
      <c r="BO1" s="33"/>
      <c r="BP1" s="33"/>
      <c r="BQ1" s="33"/>
      <c r="BR1" s="30"/>
      <c r="BS1" s="204"/>
      <c r="BT1" s="204"/>
      <c r="BU1" s="30"/>
      <c r="BV1" s="31"/>
      <c r="BW1" s="31"/>
      <c r="BX1" s="31"/>
      <c r="BY1" s="31"/>
      <c r="BZ1" s="32"/>
      <c r="CA1" s="33"/>
      <c r="CB1" s="33"/>
      <c r="CC1" s="33"/>
      <c r="CD1" s="204"/>
      <c r="CE1" s="204"/>
      <c r="CF1" s="204"/>
      <c r="CG1" s="204"/>
      <c r="CH1" s="31"/>
      <c r="CI1" s="31"/>
      <c r="CJ1" s="31"/>
      <c r="CK1" s="31"/>
      <c r="CL1" s="32"/>
      <c r="CM1" s="33"/>
      <c r="CN1" s="33"/>
      <c r="CO1" s="33"/>
      <c r="CP1" s="2"/>
      <c r="CQ1" s="2"/>
      <c r="CR1" s="2"/>
      <c r="CS1" s="2"/>
      <c r="CT1" s="2"/>
      <c r="CU1" s="2"/>
      <c r="CV1" s="2"/>
      <c r="CW1" s="2"/>
      <c r="CX1" s="2"/>
      <c r="CY1" s="2"/>
      <c r="CZ1" s="2"/>
      <c r="DA1" s="2"/>
      <c r="DB1" s="204"/>
      <c r="DC1" s="204"/>
      <c r="DD1" s="204"/>
      <c r="DE1" s="204"/>
      <c r="DF1" s="31"/>
      <c r="DG1" s="31"/>
      <c r="DH1" s="31"/>
      <c r="DI1" s="31"/>
      <c r="DJ1" s="32"/>
      <c r="DK1" s="33"/>
      <c r="DL1" s="33"/>
      <c r="DM1" s="33"/>
      <c r="DN1" s="2"/>
      <c r="DO1" s="2"/>
      <c r="DP1" s="2"/>
      <c r="DQ1" s="2"/>
      <c r="DR1" s="2"/>
      <c r="DS1" s="2"/>
      <c r="DT1" s="2"/>
      <c r="DU1" s="2"/>
      <c r="DV1" s="2"/>
      <c r="DW1" s="2"/>
      <c r="DX1" s="2"/>
      <c r="DY1" s="2"/>
    </row>
    <row r="2" spans="1:129" ht="27.6" customHeight="1" thickTop="1" x14ac:dyDescent="0.25">
      <c r="A2" s="4" t="s">
        <v>0</v>
      </c>
      <c r="B2" s="34"/>
      <c r="C2" s="34"/>
      <c r="D2" s="34"/>
      <c r="E2" s="10"/>
      <c r="L2" s="34"/>
      <c r="M2" s="34"/>
      <c r="N2" s="34"/>
      <c r="O2" s="10"/>
      <c r="X2" s="34"/>
      <c r="Y2" s="10"/>
      <c r="AH2" s="34"/>
      <c r="AI2" s="34"/>
      <c r="AJ2" s="34"/>
      <c r="AK2" s="10"/>
      <c r="AT2" s="34"/>
      <c r="AU2" s="34"/>
      <c r="AV2" s="34"/>
      <c r="AW2" s="10"/>
      <c r="BF2" s="34"/>
      <c r="BG2" s="34"/>
      <c r="BH2" s="34"/>
      <c r="BI2" s="10"/>
      <c r="BR2" s="34"/>
      <c r="BS2" s="34"/>
      <c r="BT2" s="34"/>
      <c r="BU2" s="10"/>
      <c r="CD2" s="34" t="s">
        <v>45</v>
      </c>
      <c r="CE2" s="34"/>
      <c r="CF2" s="34"/>
      <c r="CG2" s="10"/>
      <c r="CP2" s="2"/>
      <c r="CQ2" s="2"/>
      <c r="CR2" s="2"/>
      <c r="CS2" s="2"/>
      <c r="CT2" s="2"/>
      <c r="CU2" s="2"/>
      <c r="CV2" s="2"/>
      <c r="CW2" s="2"/>
      <c r="CX2" s="2"/>
      <c r="CY2" s="2"/>
      <c r="CZ2" s="2"/>
      <c r="DA2" s="2"/>
      <c r="DB2" s="34" t="s">
        <v>45</v>
      </c>
      <c r="DC2" s="34"/>
      <c r="DD2" s="34"/>
      <c r="DE2" s="10"/>
      <c r="DN2" s="2"/>
      <c r="DO2" s="2"/>
      <c r="DP2" s="2"/>
      <c r="DQ2" s="2"/>
      <c r="DR2" s="2"/>
      <c r="DS2" s="2"/>
      <c r="DT2" s="2"/>
      <c r="DU2" s="2"/>
      <c r="DV2" s="2"/>
      <c r="DW2" s="2"/>
      <c r="DX2" s="2"/>
      <c r="DY2" s="2"/>
    </row>
    <row r="3" spans="1:129" ht="27.6" customHeight="1" x14ac:dyDescent="0.25">
      <c r="A3" s="4" t="s">
        <v>1</v>
      </c>
      <c r="B3" s="8"/>
      <c r="C3" s="8"/>
      <c r="D3" s="8"/>
      <c r="E3" s="9"/>
      <c r="L3" s="8"/>
      <c r="M3" s="8"/>
      <c r="N3" s="8"/>
      <c r="O3" s="9"/>
      <c r="X3" s="8"/>
      <c r="Y3" s="9"/>
      <c r="AH3" s="8"/>
      <c r="AI3" s="8"/>
      <c r="AJ3" s="8"/>
      <c r="AK3" s="9"/>
      <c r="AT3" s="8"/>
      <c r="AU3" s="8"/>
      <c r="AV3" s="8"/>
      <c r="AW3" s="9"/>
      <c r="BF3" s="8"/>
      <c r="BG3" s="8"/>
      <c r="BH3" s="8"/>
      <c r="BI3" s="9"/>
      <c r="BR3" s="8"/>
      <c r="BS3" s="8"/>
      <c r="BT3" s="8"/>
      <c r="BU3" s="9"/>
      <c r="CD3" s="8" t="s">
        <v>44</v>
      </c>
      <c r="CE3" s="8"/>
      <c r="CF3" s="8"/>
      <c r="CG3" s="9"/>
      <c r="CP3" s="2"/>
      <c r="CQ3" s="2"/>
      <c r="CR3" s="2"/>
      <c r="CS3" s="2"/>
      <c r="CT3" s="2"/>
      <c r="CU3" s="2"/>
      <c r="CV3" s="2"/>
      <c r="CW3" s="2"/>
      <c r="CX3" s="2"/>
      <c r="CY3" s="2"/>
      <c r="CZ3" s="2"/>
      <c r="DA3" s="2"/>
      <c r="DB3" s="8" t="s">
        <v>44</v>
      </c>
      <c r="DC3" s="8"/>
      <c r="DD3" s="8"/>
      <c r="DE3" s="9"/>
      <c r="DN3" s="2"/>
      <c r="DO3" s="2"/>
      <c r="DP3" s="2"/>
      <c r="DQ3" s="2"/>
      <c r="DR3" s="2"/>
      <c r="DS3" s="2"/>
      <c r="DT3" s="2"/>
      <c r="DU3" s="2"/>
      <c r="DV3" s="2"/>
      <c r="DW3" s="2"/>
      <c r="DX3" s="2"/>
      <c r="DY3" s="2"/>
    </row>
    <row r="4" spans="1:129" ht="27.6" customHeight="1" x14ac:dyDescent="0.25">
      <c r="A4" s="4" t="s">
        <v>2</v>
      </c>
      <c r="B4" s="8"/>
      <c r="C4" s="8"/>
      <c r="D4" s="8"/>
      <c r="E4" s="10"/>
      <c r="L4" s="8"/>
      <c r="M4" s="8"/>
      <c r="N4" s="8"/>
      <c r="O4" s="10"/>
      <c r="X4" s="8"/>
      <c r="Y4" s="10"/>
      <c r="AH4" s="8"/>
      <c r="AI4" s="8"/>
      <c r="AJ4" s="8"/>
      <c r="AK4" s="10"/>
      <c r="AT4" s="8"/>
      <c r="AU4" s="8"/>
      <c r="AV4" s="8"/>
      <c r="AW4" s="10"/>
      <c r="BF4" s="8"/>
      <c r="BG4" s="8"/>
      <c r="BH4" s="8"/>
      <c r="BI4" s="10"/>
      <c r="BR4" s="8"/>
      <c r="BS4" s="8"/>
      <c r="BT4" s="8"/>
      <c r="BU4" s="10"/>
      <c r="CD4" s="8" t="str">
        <f>'FRNA-Monthly'!AW4</f>
        <v>1/19/2024</v>
      </c>
      <c r="CE4" s="8"/>
      <c r="CF4" s="8"/>
      <c r="CG4" s="10"/>
      <c r="CP4" s="2"/>
      <c r="CQ4" s="2"/>
      <c r="CR4" s="2"/>
      <c r="CS4" s="2"/>
      <c r="CT4" s="2"/>
      <c r="CU4" s="2"/>
      <c r="CV4" s="2"/>
      <c r="CW4" s="2"/>
      <c r="CX4" s="2"/>
      <c r="CY4" s="2"/>
      <c r="CZ4" s="2"/>
      <c r="DA4" s="2"/>
      <c r="DB4" s="219" t="str">
        <f>'FRNA-Monthly'!BU4</f>
        <v>12/18/2024</v>
      </c>
      <c r="DC4" s="8"/>
      <c r="DD4" s="8"/>
      <c r="DE4" s="10"/>
      <c r="DN4" s="2"/>
      <c r="DO4" s="2"/>
      <c r="DP4" s="2"/>
      <c r="DQ4" s="2"/>
      <c r="DR4" s="2"/>
      <c r="DS4" s="2"/>
      <c r="DT4" s="2"/>
      <c r="DU4" s="2"/>
      <c r="DV4" s="2"/>
      <c r="DW4" s="2"/>
      <c r="DX4" s="2"/>
      <c r="DY4" s="2"/>
    </row>
    <row r="5" spans="1:129" x14ac:dyDescent="0.25">
      <c r="A5" s="4"/>
      <c r="B5" s="8"/>
      <c r="C5" s="8"/>
      <c r="D5" s="8"/>
      <c r="E5" s="10"/>
      <c r="L5" s="8"/>
      <c r="M5" s="8"/>
      <c r="N5" s="8"/>
      <c r="O5" s="10"/>
      <c r="X5" s="8"/>
      <c r="Y5" s="10"/>
      <c r="AH5" s="8"/>
      <c r="AI5" s="8"/>
      <c r="AJ5" s="8"/>
      <c r="AK5" s="10"/>
      <c r="AT5" s="8"/>
      <c r="AU5" s="8"/>
      <c r="AV5" s="8"/>
      <c r="AW5" s="10"/>
      <c r="BF5" s="8"/>
      <c r="BG5" s="8"/>
      <c r="BH5" s="8"/>
      <c r="BI5" s="10"/>
      <c r="BR5" s="8"/>
      <c r="BS5" s="8"/>
      <c r="BT5" s="8"/>
      <c r="BU5" s="10"/>
      <c r="CD5" s="8"/>
      <c r="CE5" s="8"/>
      <c r="CF5" s="8"/>
      <c r="CG5" s="10"/>
      <c r="DB5" s="8"/>
      <c r="DC5" s="8"/>
      <c r="DD5" s="8"/>
      <c r="DE5" s="10"/>
    </row>
    <row r="6" spans="1:129" ht="15.75" thickBot="1" x14ac:dyDescent="0.3">
      <c r="A6" s="11"/>
      <c r="B6" s="12"/>
      <c r="C6" s="12"/>
      <c r="D6" s="12"/>
      <c r="E6" s="14"/>
      <c r="L6" s="12"/>
      <c r="M6" s="12"/>
      <c r="N6" s="12"/>
      <c r="O6" s="14"/>
      <c r="X6" s="12"/>
      <c r="Y6" s="14"/>
      <c r="AH6" s="12"/>
      <c r="AI6" s="12"/>
      <c r="AJ6" s="12"/>
      <c r="AK6" s="14"/>
      <c r="AT6" s="12"/>
      <c r="AU6" s="12"/>
      <c r="AV6" s="12"/>
      <c r="AW6" s="14"/>
      <c r="BF6" s="12"/>
      <c r="BG6" s="12"/>
      <c r="BH6" s="12"/>
      <c r="BI6" s="14"/>
      <c r="BR6" s="12"/>
      <c r="BS6" s="12"/>
      <c r="BT6" s="12"/>
      <c r="BU6" s="14"/>
      <c r="CD6" s="12"/>
      <c r="CE6" s="12"/>
      <c r="CF6" s="12"/>
      <c r="CG6" s="14"/>
      <c r="DB6" s="12"/>
      <c r="DC6" s="12"/>
      <c r="DD6" s="12"/>
      <c r="DE6" s="14"/>
    </row>
    <row r="7" spans="1:129" s="35" customFormat="1" ht="15.75" thickBot="1" x14ac:dyDescent="0.3">
      <c r="A7" s="15"/>
      <c r="B7" s="246">
        <v>2019</v>
      </c>
      <c r="C7" s="245"/>
      <c r="D7" s="245"/>
      <c r="E7" s="245"/>
      <c r="F7" s="245"/>
      <c r="G7" s="245"/>
      <c r="H7" s="245"/>
      <c r="I7" s="245"/>
      <c r="J7" s="245"/>
      <c r="K7" s="247"/>
      <c r="L7" s="245">
        <v>2020</v>
      </c>
      <c r="M7" s="245"/>
      <c r="N7" s="245"/>
      <c r="O7" s="245"/>
      <c r="P7" s="245"/>
      <c r="Q7" s="245"/>
      <c r="R7" s="245"/>
      <c r="S7" s="245"/>
      <c r="T7" s="245"/>
      <c r="U7" s="245"/>
      <c r="V7" s="245"/>
      <c r="W7" s="245"/>
      <c r="X7" s="245" t="s">
        <v>66</v>
      </c>
      <c r="Y7" s="245"/>
      <c r="Z7" s="245"/>
      <c r="AA7" s="245"/>
      <c r="AB7" s="245"/>
      <c r="AC7" s="245"/>
      <c r="AD7" s="245"/>
      <c r="AE7" s="245"/>
      <c r="AF7" s="245"/>
      <c r="AG7" s="245"/>
      <c r="AH7" s="245">
        <v>2021</v>
      </c>
      <c r="AI7" s="245"/>
      <c r="AJ7" s="245"/>
      <c r="AK7" s="245"/>
      <c r="AL7" s="245"/>
      <c r="AM7" s="245"/>
      <c r="AN7" s="245"/>
      <c r="AO7" s="245"/>
      <c r="AP7" s="245"/>
      <c r="AQ7" s="245"/>
      <c r="AR7" s="245"/>
      <c r="AS7" s="245"/>
      <c r="AT7" s="245" t="s">
        <v>65</v>
      </c>
      <c r="AU7" s="245"/>
      <c r="AV7" s="245"/>
      <c r="AW7" s="245"/>
      <c r="AX7" s="245"/>
      <c r="AY7" s="245"/>
      <c r="AZ7" s="245"/>
      <c r="BA7" s="245"/>
      <c r="BB7" s="245"/>
      <c r="BC7" s="245"/>
      <c r="BD7" s="245"/>
      <c r="BE7" s="245"/>
      <c r="BF7" s="245">
        <v>2022</v>
      </c>
      <c r="BG7" s="245"/>
      <c r="BH7" s="245"/>
      <c r="BI7" s="245"/>
      <c r="BJ7" s="245"/>
      <c r="BK7" s="245"/>
      <c r="BL7" s="245"/>
      <c r="BM7" s="245"/>
      <c r="BN7" s="245"/>
      <c r="BO7" s="245"/>
      <c r="BP7" s="245"/>
      <c r="BQ7" s="245"/>
      <c r="BR7" s="245" t="s">
        <v>65</v>
      </c>
      <c r="BS7" s="245"/>
      <c r="BT7" s="245"/>
      <c r="BU7" s="245"/>
      <c r="BV7" s="245"/>
      <c r="BW7" s="245"/>
      <c r="BX7" s="245"/>
      <c r="BY7" s="245"/>
      <c r="BZ7" s="245"/>
      <c r="CA7" s="245"/>
      <c r="CB7" s="245"/>
      <c r="CC7" s="245"/>
      <c r="CD7" s="245">
        <v>2023</v>
      </c>
      <c r="CE7" s="245"/>
      <c r="CF7" s="245"/>
      <c r="CG7" s="245"/>
      <c r="CH7" s="245"/>
      <c r="CI7" s="245"/>
      <c r="CJ7" s="245"/>
      <c r="CK7" s="245"/>
      <c r="CL7" s="245"/>
      <c r="CM7" s="245"/>
      <c r="CN7" s="245"/>
      <c r="CO7" s="245"/>
      <c r="CP7" s="148" t="s">
        <v>61</v>
      </c>
      <c r="CQ7" s="63"/>
      <c r="CR7" s="63"/>
      <c r="CS7" s="63"/>
      <c r="CT7" s="63"/>
      <c r="CU7" s="63"/>
      <c r="CV7" s="63"/>
      <c r="CW7" s="63"/>
      <c r="CX7" s="63"/>
      <c r="CY7" s="63"/>
      <c r="CZ7" s="63"/>
      <c r="DA7" s="132"/>
      <c r="DB7" s="245">
        <v>2024</v>
      </c>
      <c r="DC7" s="245"/>
      <c r="DD7" s="245"/>
      <c r="DE7" s="245"/>
      <c r="DF7" s="245"/>
      <c r="DG7" s="245"/>
      <c r="DH7" s="245"/>
      <c r="DI7" s="245"/>
      <c r="DJ7" s="245"/>
      <c r="DK7" s="245"/>
      <c r="DL7" s="245"/>
      <c r="DM7" s="245"/>
      <c r="DN7" s="148" t="s">
        <v>67</v>
      </c>
      <c r="DO7" s="63"/>
      <c r="DP7" s="63"/>
      <c r="DQ7" s="63"/>
      <c r="DR7" s="63"/>
      <c r="DS7" s="63"/>
      <c r="DT7" s="63"/>
      <c r="DU7" s="63"/>
      <c r="DV7" s="63"/>
      <c r="DW7" s="63"/>
      <c r="DX7" s="63"/>
      <c r="DY7" s="132"/>
    </row>
    <row r="8" spans="1:129" ht="15.75" thickBot="1" x14ac:dyDescent="0.3">
      <c r="A8" s="16"/>
      <c r="B8" s="163" t="s">
        <v>9</v>
      </c>
      <c r="C8" s="91" t="s">
        <v>10</v>
      </c>
      <c r="D8" s="91" t="s">
        <v>15</v>
      </c>
      <c r="E8" s="91" t="s">
        <v>11</v>
      </c>
      <c r="F8" s="91" t="s">
        <v>16</v>
      </c>
      <c r="G8" s="91" t="s">
        <v>3</v>
      </c>
      <c r="H8" s="91" t="s">
        <v>13</v>
      </c>
      <c r="I8" s="91" t="s">
        <v>4</v>
      </c>
      <c r="J8" s="91" t="s">
        <v>5</v>
      </c>
      <c r="K8" s="91" t="s">
        <v>6</v>
      </c>
      <c r="L8" s="163" t="s">
        <v>7</v>
      </c>
      <c r="M8" s="91" t="s">
        <v>8</v>
      </c>
      <c r="N8" s="91" t="s">
        <v>9</v>
      </c>
      <c r="O8" s="91" t="s">
        <v>10</v>
      </c>
      <c r="P8" s="91" t="s">
        <v>15</v>
      </c>
      <c r="Q8" s="91" t="s">
        <v>11</v>
      </c>
      <c r="R8" s="91" t="s">
        <v>12</v>
      </c>
      <c r="S8" s="91" t="s">
        <v>3</v>
      </c>
      <c r="T8" s="91" t="s">
        <v>13</v>
      </c>
      <c r="U8" s="91" t="s">
        <v>4</v>
      </c>
      <c r="V8" s="91" t="s">
        <v>5</v>
      </c>
      <c r="W8" s="67" t="s">
        <v>6</v>
      </c>
      <c r="X8" s="91" t="s">
        <v>49</v>
      </c>
      <c r="Y8" s="91" t="s">
        <v>51</v>
      </c>
      <c r="Z8" s="91" t="s">
        <v>15</v>
      </c>
      <c r="AA8" s="91" t="s">
        <v>53</v>
      </c>
      <c r="AB8" s="91" t="s">
        <v>16</v>
      </c>
      <c r="AC8" s="91" t="s">
        <v>54</v>
      </c>
      <c r="AD8" s="91" t="s">
        <v>55</v>
      </c>
      <c r="AE8" s="91" t="s">
        <v>56</v>
      </c>
      <c r="AF8" s="91" t="s">
        <v>57</v>
      </c>
      <c r="AG8" s="67" t="s">
        <v>58</v>
      </c>
      <c r="AH8" s="163" t="s">
        <v>7</v>
      </c>
      <c r="AI8" s="91" t="s">
        <v>8</v>
      </c>
      <c r="AJ8" s="91" t="s">
        <v>49</v>
      </c>
      <c r="AK8" s="91" t="s">
        <v>51</v>
      </c>
      <c r="AL8" s="91" t="s">
        <v>15</v>
      </c>
      <c r="AM8" s="91" t="s">
        <v>53</v>
      </c>
      <c r="AN8" s="91" t="s">
        <v>16</v>
      </c>
      <c r="AO8" s="91" t="s">
        <v>54</v>
      </c>
      <c r="AP8" s="91" t="s">
        <v>55</v>
      </c>
      <c r="AQ8" s="91" t="s">
        <v>56</v>
      </c>
      <c r="AR8" s="91" t="s">
        <v>57</v>
      </c>
      <c r="AS8" s="67" t="s">
        <v>58</v>
      </c>
      <c r="AT8" s="163" t="s">
        <v>59</v>
      </c>
      <c r="AU8" s="91" t="s">
        <v>60</v>
      </c>
      <c r="AV8" s="91" t="s">
        <v>49</v>
      </c>
      <c r="AW8" s="91" t="s">
        <v>51</v>
      </c>
      <c r="AX8" s="91" t="s">
        <v>15</v>
      </c>
      <c r="AY8" s="91" t="s">
        <v>53</v>
      </c>
      <c r="AZ8" s="91" t="s">
        <v>16</v>
      </c>
      <c r="BA8" s="91" t="s">
        <v>54</v>
      </c>
      <c r="BB8" s="91" t="s">
        <v>55</v>
      </c>
      <c r="BC8" s="91" t="s">
        <v>56</v>
      </c>
      <c r="BD8" s="91" t="s">
        <v>57</v>
      </c>
      <c r="BE8" s="67" t="s">
        <v>58</v>
      </c>
      <c r="BF8" s="163" t="s">
        <v>59</v>
      </c>
      <c r="BG8" s="91" t="s">
        <v>60</v>
      </c>
      <c r="BH8" s="91" t="s">
        <v>49</v>
      </c>
      <c r="BI8" s="91" t="s">
        <v>51</v>
      </c>
      <c r="BJ8" s="91" t="s">
        <v>15</v>
      </c>
      <c r="BK8" s="91" t="s">
        <v>53</v>
      </c>
      <c r="BL8" s="91" t="s">
        <v>16</v>
      </c>
      <c r="BM8" s="91" t="s">
        <v>54</v>
      </c>
      <c r="BN8" s="91" t="s">
        <v>55</v>
      </c>
      <c r="BO8" s="91" t="s">
        <v>56</v>
      </c>
      <c r="BP8" s="91" t="s">
        <v>57</v>
      </c>
      <c r="BQ8" s="67" t="s">
        <v>58</v>
      </c>
      <c r="BR8" s="163" t="s">
        <v>59</v>
      </c>
      <c r="BS8" s="91" t="s">
        <v>60</v>
      </c>
      <c r="BT8" s="91" t="s">
        <v>49</v>
      </c>
      <c r="BU8" s="91" t="s">
        <v>51</v>
      </c>
      <c r="BV8" s="91" t="s">
        <v>15</v>
      </c>
      <c r="BW8" s="91" t="s">
        <v>53</v>
      </c>
      <c r="BX8" s="91" t="s">
        <v>16</v>
      </c>
      <c r="BY8" s="91" t="s">
        <v>54</v>
      </c>
      <c r="BZ8" s="91" t="s">
        <v>55</v>
      </c>
      <c r="CA8" s="91" t="s">
        <v>56</v>
      </c>
      <c r="CB8" s="91" t="s">
        <v>57</v>
      </c>
      <c r="CC8" s="67" t="s">
        <v>58</v>
      </c>
      <c r="CD8" s="163" t="s">
        <v>59</v>
      </c>
      <c r="CE8" s="91" t="s">
        <v>60</v>
      </c>
      <c r="CF8" s="91" t="s">
        <v>49</v>
      </c>
      <c r="CG8" s="91" t="s">
        <v>51</v>
      </c>
      <c r="CH8" s="91" t="s">
        <v>15</v>
      </c>
      <c r="CI8" s="91" t="s">
        <v>53</v>
      </c>
      <c r="CJ8" s="91" t="s">
        <v>16</v>
      </c>
      <c r="CK8" s="91" t="s">
        <v>54</v>
      </c>
      <c r="CL8" s="91" t="s">
        <v>55</v>
      </c>
      <c r="CM8" s="91" t="s">
        <v>56</v>
      </c>
      <c r="CN8" s="91" t="s">
        <v>57</v>
      </c>
      <c r="CO8" s="67" t="s">
        <v>58</v>
      </c>
      <c r="CP8" s="163" t="s">
        <v>59</v>
      </c>
      <c r="CQ8" s="91" t="s">
        <v>60</v>
      </c>
      <c r="CR8" s="91" t="s">
        <v>49</v>
      </c>
      <c r="CS8" s="91" t="s">
        <v>51</v>
      </c>
      <c r="CT8" s="91" t="s">
        <v>15</v>
      </c>
      <c r="CU8" s="91" t="s">
        <v>53</v>
      </c>
      <c r="CV8" s="91" t="s">
        <v>16</v>
      </c>
      <c r="CW8" s="91" t="s">
        <v>54</v>
      </c>
      <c r="CX8" s="91" t="s">
        <v>55</v>
      </c>
      <c r="CY8" s="91" t="s">
        <v>56</v>
      </c>
      <c r="CZ8" s="91" t="s">
        <v>57</v>
      </c>
      <c r="DA8" s="67" t="s">
        <v>58</v>
      </c>
      <c r="DB8" s="163" t="s">
        <v>59</v>
      </c>
      <c r="DC8" s="91" t="s">
        <v>60</v>
      </c>
      <c r="DD8" s="91" t="s">
        <v>49</v>
      </c>
      <c r="DE8" s="91" t="s">
        <v>51</v>
      </c>
      <c r="DF8" s="91" t="s">
        <v>15</v>
      </c>
      <c r="DG8" s="91" t="s">
        <v>53</v>
      </c>
      <c r="DH8" s="91" t="s">
        <v>16</v>
      </c>
      <c r="DI8" s="91" t="s">
        <v>54</v>
      </c>
      <c r="DJ8" s="91" t="s">
        <v>55</v>
      </c>
      <c r="DK8" s="91" t="s">
        <v>56</v>
      </c>
      <c r="DL8" s="91" t="s">
        <v>57</v>
      </c>
      <c r="DM8" s="67" t="s">
        <v>58</v>
      </c>
      <c r="DN8" s="163" t="s">
        <v>59</v>
      </c>
      <c r="DO8" s="91" t="s">
        <v>60</v>
      </c>
      <c r="DP8" s="91" t="s">
        <v>49</v>
      </c>
      <c r="DQ8" s="91" t="s">
        <v>51</v>
      </c>
      <c r="DR8" s="91" t="s">
        <v>15</v>
      </c>
      <c r="DS8" s="91" t="s">
        <v>53</v>
      </c>
      <c r="DT8" s="91" t="s">
        <v>16</v>
      </c>
      <c r="DU8" s="91" t="s">
        <v>54</v>
      </c>
      <c r="DV8" s="91" t="s">
        <v>55</v>
      </c>
      <c r="DW8" s="91" t="s">
        <v>56</v>
      </c>
      <c r="DX8" s="91" t="s">
        <v>57</v>
      </c>
      <c r="DY8" s="67" t="s">
        <v>58</v>
      </c>
    </row>
    <row r="9" spans="1:129" x14ac:dyDescent="0.25">
      <c r="A9" s="23" t="s">
        <v>14</v>
      </c>
      <c r="B9" s="164"/>
      <c r="C9" s="94"/>
      <c r="D9" s="94"/>
      <c r="E9" s="94"/>
      <c r="F9" s="94"/>
      <c r="G9" s="94"/>
      <c r="H9" s="94"/>
      <c r="I9" s="94"/>
      <c r="J9" s="94"/>
      <c r="K9" s="94"/>
      <c r="L9" s="164"/>
      <c r="M9" s="94"/>
      <c r="N9" s="94"/>
      <c r="O9" s="94"/>
      <c r="P9" s="94"/>
      <c r="Q9" s="94"/>
      <c r="R9" s="94"/>
      <c r="S9" s="94"/>
      <c r="T9" s="94"/>
      <c r="U9" s="94"/>
      <c r="V9" s="94"/>
      <c r="W9" s="94"/>
      <c r="X9" s="164"/>
      <c r="Y9" s="94"/>
      <c r="Z9" s="94"/>
      <c r="AA9" s="94"/>
      <c r="AB9" s="94"/>
      <c r="AC9" s="94"/>
      <c r="AD9" s="94"/>
      <c r="AE9" s="94"/>
      <c r="AF9" s="94"/>
      <c r="AG9" s="95"/>
      <c r="AH9" s="164"/>
      <c r="AI9" s="94"/>
      <c r="AJ9" s="94"/>
      <c r="AK9" s="94"/>
      <c r="AL9" s="94"/>
      <c r="AM9" s="94"/>
      <c r="AN9" s="94"/>
      <c r="AO9" s="94"/>
      <c r="AP9" s="94"/>
      <c r="AQ9" s="94"/>
      <c r="AR9" s="94"/>
      <c r="AS9" s="95"/>
      <c r="AT9" s="164"/>
      <c r="AU9" s="94"/>
      <c r="AV9" s="94"/>
      <c r="AW9" s="94"/>
      <c r="AX9" s="94"/>
      <c r="AY9" s="94"/>
      <c r="AZ9" s="94"/>
      <c r="BA9" s="94"/>
      <c r="BB9" s="94"/>
      <c r="BC9" s="94"/>
      <c r="BD9" s="94"/>
      <c r="BE9" s="95"/>
      <c r="BF9" s="164"/>
      <c r="BG9" s="94"/>
      <c r="BH9" s="94"/>
      <c r="BI9" s="94"/>
      <c r="BJ9" s="94"/>
      <c r="BK9" s="94"/>
      <c r="BL9" s="94"/>
      <c r="BM9" s="94"/>
      <c r="BN9" s="94"/>
      <c r="BO9" s="94"/>
      <c r="BP9" s="94"/>
      <c r="BQ9" s="95"/>
      <c r="BR9" s="164"/>
      <c r="BS9" s="94"/>
      <c r="BT9" s="94"/>
      <c r="BU9" s="94"/>
      <c r="BV9" s="94"/>
      <c r="BW9" s="94"/>
      <c r="BX9" s="94"/>
      <c r="BY9" s="94"/>
      <c r="BZ9" s="94"/>
      <c r="CA9" s="94"/>
      <c r="CB9" s="94"/>
      <c r="CC9" s="95"/>
      <c r="CD9" s="164"/>
      <c r="CE9" s="94"/>
      <c r="CF9" s="94"/>
      <c r="CG9" s="94"/>
      <c r="CH9" s="94"/>
      <c r="CI9" s="94"/>
      <c r="CJ9" s="94"/>
      <c r="CK9" s="94"/>
      <c r="CL9" s="94"/>
      <c r="CM9" s="94"/>
      <c r="CN9" s="94"/>
      <c r="CO9" s="95"/>
      <c r="CP9" s="164"/>
      <c r="CQ9" s="94"/>
      <c r="CR9" s="94"/>
      <c r="CS9" s="94"/>
      <c r="CT9" s="94"/>
      <c r="CU9" s="94"/>
      <c r="CV9" s="94"/>
      <c r="CW9" s="94"/>
      <c r="CX9" s="94"/>
      <c r="CY9" s="94"/>
      <c r="CZ9" s="94"/>
      <c r="DA9" s="94"/>
      <c r="DB9" s="164"/>
      <c r="DC9" s="94"/>
      <c r="DD9" s="94"/>
      <c r="DE9" s="94"/>
      <c r="DF9" s="94"/>
      <c r="DG9" s="94"/>
      <c r="DH9" s="94"/>
      <c r="DI9" s="94"/>
      <c r="DJ9" s="94"/>
      <c r="DK9" s="94"/>
      <c r="DL9" s="94"/>
      <c r="DM9" s="95"/>
      <c r="DN9" s="164"/>
      <c r="DO9" s="94"/>
      <c r="DP9" s="94"/>
      <c r="DQ9" s="94"/>
      <c r="DR9" s="94"/>
      <c r="DS9" s="94"/>
      <c r="DT9" s="94"/>
      <c r="DU9" s="94"/>
      <c r="DV9" s="94"/>
      <c r="DW9" s="94"/>
      <c r="DX9" s="94"/>
      <c r="DY9" s="95"/>
    </row>
    <row r="10" spans="1:129" x14ac:dyDescent="0.25">
      <c r="A10" s="19" t="s">
        <v>34</v>
      </c>
      <c r="B10" s="165">
        <v>1628</v>
      </c>
      <c r="C10" s="100">
        <v>1607</v>
      </c>
      <c r="D10" s="100">
        <v>1601</v>
      </c>
      <c r="E10" s="100">
        <v>1598</v>
      </c>
      <c r="F10" s="100">
        <v>1596</v>
      </c>
      <c r="G10" s="100">
        <v>1594</v>
      </c>
      <c r="H10" s="100">
        <v>1603</v>
      </c>
      <c r="I10" s="100">
        <v>1608</v>
      </c>
      <c r="J10" s="100">
        <v>1634</v>
      </c>
      <c r="K10" s="100">
        <v>1642</v>
      </c>
      <c r="L10" s="165">
        <v>1638</v>
      </c>
      <c r="M10" s="100">
        <v>1634</v>
      </c>
      <c r="N10" s="100">
        <v>1631</v>
      </c>
      <c r="O10" s="100">
        <v>1625</v>
      </c>
      <c r="P10" s="100">
        <v>1627</v>
      </c>
      <c r="Q10" s="100">
        <v>1628</v>
      </c>
      <c r="R10" s="100">
        <v>1631</v>
      </c>
      <c r="S10" s="100">
        <v>1634</v>
      </c>
      <c r="T10" s="100">
        <v>1637</v>
      </c>
      <c r="U10" s="100">
        <v>1643</v>
      </c>
      <c r="V10" s="100">
        <v>1646</v>
      </c>
      <c r="W10" s="100">
        <v>1646</v>
      </c>
      <c r="X10" s="165">
        <f t="shared" ref="X10:AG14" si="0">B10-N10</f>
        <v>-3</v>
      </c>
      <c r="Y10" s="100">
        <f t="shared" si="0"/>
        <v>-18</v>
      </c>
      <c r="Z10" s="100">
        <f t="shared" si="0"/>
        <v>-26</v>
      </c>
      <c r="AA10" s="100">
        <f t="shared" si="0"/>
        <v>-30</v>
      </c>
      <c r="AB10" s="100">
        <f t="shared" si="0"/>
        <v>-35</v>
      </c>
      <c r="AC10" s="100">
        <f t="shared" si="0"/>
        <v>-40</v>
      </c>
      <c r="AD10" s="100">
        <f t="shared" si="0"/>
        <v>-34</v>
      </c>
      <c r="AE10" s="100">
        <f t="shared" si="0"/>
        <v>-35</v>
      </c>
      <c r="AF10" s="100">
        <f t="shared" si="0"/>
        <v>-12</v>
      </c>
      <c r="AG10" s="200">
        <f t="shared" si="0"/>
        <v>-4</v>
      </c>
      <c r="AH10" s="165">
        <v>1641</v>
      </c>
      <c r="AI10" s="100">
        <v>1638</v>
      </c>
      <c r="AJ10" s="100">
        <v>1638</v>
      </c>
      <c r="AK10" s="100">
        <v>1660</v>
      </c>
      <c r="AL10" s="100">
        <v>1657</v>
      </c>
      <c r="AM10" s="100">
        <v>1656</v>
      </c>
      <c r="AN10" s="100">
        <v>1651</v>
      </c>
      <c r="AO10" s="100">
        <v>1647</v>
      </c>
      <c r="AP10" s="100">
        <v>1646</v>
      </c>
      <c r="AQ10" s="100">
        <v>1642</v>
      </c>
      <c r="AR10" s="100">
        <v>1648</v>
      </c>
      <c r="AS10" s="200">
        <v>1651</v>
      </c>
      <c r="AT10" s="165">
        <f>L10-AH10</f>
        <v>-3</v>
      </c>
      <c r="AU10" s="100">
        <f t="shared" ref="AU10:BE14" si="1">M10-AI10</f>
        <v>-4</v>
      </c>
      <c r="AV10" s="100">
        <f t="shared" si="1"/>
        <v>-7</v>
      </c>
      <c r="AW10" s="100">
        <f t="shared" si="1"/>
        <v>-35</v>
      </c>
      <c r="AX10" s="100">
        <f t="shared" si="1"/>
        <v>-30</v>
      </c>
      <c r="AY10" s="100">
        <f t="shared" si="1"/>
        <v>-28</v>
      </c>
      <c r="AZ10" s="100">
        <f t="shared" si="1"/>
        <v>-20</v>
      </c>
      <c r="BA10" s="100">
        <f>S10-AO10</f>
        <v>-13</v>
      </c>
      <c r="BB10" s="100">
        <f t="shared" si="1"/>
        <v>-9</v>
      </c>
      <c r="BC10" s="100">
        <f t="shared" si="1"/>
        <v>1</v>
      </c>
      <c r="BD10" s="100">
        <f t="shared" si="1"/>
        <v>-2</v>
      </c>
      <c r="BE10" s="200">
        <f t="shared" si="1"/>
        <v>-5</v>
      </c>
      <c r="BF10" s="165">
        <v>1654</v>
      </c>
      <c r="BG10" s="100">
        <v>1655</v>
      </c>
      <c r="BH10" s="100">
        <v>1662</v>
      </c>
      <c r="BI10" s="100">
        <v>1661</v>
      </c>
      <c r="BJ10" s="100">
        <v>1654</v>
      </c>
      <c r="BK10" s="100">
        <v>1648</v>
      </c>
      <c r="BL10" s="100">
        <v>1647</v>
      </c>
      <c r="BM10" s="100">
        <v>1645</v>
      </c>
      <c r="BN10" s="100">
        <v>1646</v>
      </c>
      <c r="BO10" s="100">
        <v>1655</v>
      </c>
      <c r="BP10" s="100">
        <v>1664</v>
      </c>
      <c r="BQ10" s="200">
        <v>1666</v>
      </c>
      <c r="BR10" s="165">
        <f t="shared" ref="BR10:CC10" si="2">AH10-BF10</f>
        <v>-13</v>
      </c>
      <c r="BS10" s="100">
        <f t="shared" si="2"/>
        <v>-17</v>
      </c>
      <c r="BT10" s="100">
        <f t="shared" si="2"/>
        <v>-24</v>
      </c>
      <c r="BU10" s="100">
        <f t="shared" si="2"/>
        <v>-1</v>
      </c>
      <c r="BV10" s="100">
        <f t="shared" si="2"/>
        <v>3</v>
      </c>
      <c r="BW10" s="100">
        <f t="shared" si="2"/>
        <v>8</v>
      </c>
      <c r="BX10" s="100">
        <f t="shared" si="2"/>
        <v>4</v>
      </c>
      <c r="BY10" s="100">
        <f t="shared" si="2"/>
        <v>2</v>
      </c>
      <c r="BZ10" s="100">
        <f t="shared" si="2"/>
        <v>0</v>
      </c>
      <c r="CA10" s="100">
        <f t="shared" si="2"/>
        <v>-13</v>
      </c>
      <c r="CB10" s="100">
        <f t="shared" si="2"/>
        <v>-16</v>
      </c>
      <c r="CC10" s="200">
        <f t="shared" si="2"/>
        <v>-15</v>
      </c>
      <c r="CD10" s="165">
        <v>1664</v>
      </c>
      <c r="CE10" s="100">
        <v>1663</v>
      </c>
      <c r="CF10" s="100">
        <v>1661</v>
      </c>
      <c r="CG10" s="100">
        <v>1659</v>
      </c>
      <c r="CH10" s="100">
        <v>1661</v>
      </c>
      <c r="CI10" s="100">
        <v>1659</v>
      </c>
      <c r="CJ10" s="100">
        <v>1657</v>
      </c>
      <c r="CK10" s="100">
        <v>1658</v>
      </c>
      <c r="CL10" s="100">
        <v>1656</v>
      </c>
      <c r="CM10" s="100">
        <f>131+1548</f>
        <v>1679</v>
      </c>
      <c r="CN10" s="100">
        <f>129+1551</f>
        <v>1680</v>
      </c>
      <c r="CO10" s="200">
        <v>1700</v>
      </c>
      <c r="CP10" s="165">
        <f t="shared" ref="CP10:DA15" si="3">CD10-BF10</f>
        <v>10</v>
      </c>
      <c r="CQ10" s="100">
        <f t="shared" si="3"/>
        <v>8</v>
      </c>
      <c r="CR10" s="100">
        <f t="shared" si="3"/>
        <v>-1</v>
      </c>
      <c r="CS10" s="100">
        <f t="shared" si="3"/>
        <v>-2</v>
      </c>
      <c r="CT10" s="100">
        <f t="shared" si="3"/>
        <v>7</v>
      </c>
      <c r="CU10" s="100">
        <f t="shared" si="3"/>
        <v>11</v>
      </c>
      <c r="CV10" s="100">
        <f t="shared" si="3"/>
        <v>10</v>
      </c>
      <c r="CW10" s="100">
        <f t="shared" si="3"/>
        <v>13</v>
      </c>
      <c r="CX10" s="100">
        <f t="shared" si="3"/>
        <v>10</v>
      </c>
      <c r="CY10" s="100">
        <f t="shared" si="3"/>
        <v>24</v>
      </c>
      <c r="CZ10" s="100">
        <f t="shared" si="3"/>
        <v>16</v>
      </c>
      <c r="DA10" s="200">
        <f t="shared" si="3"/>
        <v>34</v>
      </c>
      <c r="DB10" s="165">
        <f>119+1500</f>
        <v>1619</v>
      </c>
      <c r="DC10" s="100">
        <f>121+1501</f>
        <v>1622</v>
      </c>
      <c r="DD10" s="100">
        <v>1623</v>
      </c>
      <c r="DE10" s="100">
        <f>118+1496</f>
        <v>1614</v>
      </c>
      <c r="DF10" s="100">
        <f>116+1501</f>
        <v>1617</v>
      </c>
      <c r="DG10" s="100">
        <v>1615</v>
      </c>
      <c r="DH10" s="100">
        <v>1610</v>
      </c>
      <c r="DI10" s="100">
        <v>1609</v>
      </c>
      <c r="DJ10" s="100">
        <v>1607</v>
      </c>
      <c r="DK10" s="100">
        <v>1619</v>
      </c>
      <c r="DL10" s="100">
        <v>1626</v>
      </c>
      <c r="DM10" s="200"/>
      <c r="DN10" s="165">
        <f>DB10-CD10</f>
        <v>-45</v>
      </c>
      <c r="DO10" s="100">
        <f t="shared" ref="DO10:DY14" si="4">DC10-CE10</f>
        <v>-41</v>
      </c>
      <c r="DP10" s="100">
        <f t="shared" si="4"/>
        <v>-38</v>
      </c>
      <c r="DQ10" s="100">
        <f t="shared" si="4"/>
        <v>-45</v>
      </c>
      <c r="DR10" s="100">
        <f t="shared" si="4"/>
        <v>-44</v>
      </c>
      <c r="DS10" s="100">
        <f t="shared" si="4"/>
        <v>-44</v>
      </c>
      <c r="DT10" s="100">
        <f t="shared" si="4"/>
        <v>-47</v>
      </c>
      <c r="DU10" s="100">
        <f t="shared" si="4"/>
        <v>-49</v>
      </c>
      <c r="DV10" s="100">
        <f t="shared" si="4"/>
        <v>-49</v>
      </c>
      <c r="DW10" s="100">
        <f t="shared" si="4"/>
        <v>-60</v>
      </c>
      <c r="DX10" s="100">
        <f t="shared" si="4"/>
        <v>-54</v>
      </c>
      <c r="DY10" s="200">
        <f t="shared" si="4"/>
        <v>-1700</v>
      </c>
    </row>
    <row r="11" spans="1:129" x14ac:dyDescent="0.25">
      <c r="A11" s="19" t="s">
        <v>35</v>
      </c>
      <c r="B11" s="165">
        <v>104</v>
      </c>
      <c r="C11" s="100">
        <v>115</v>
      </c>
      <c r="D11" s="100">
        <v>118</v>
      </c>
      <c r="E11" s="100">
        <v>117</v>
      </c>
      <c r="F11" s="100">
        <v>116</v>
      </c>
      <c r="G11" s="100">
        <v>114</v>
      </c>
      <c r="H11" s="100">
        <v>116</v>
      </c>
      <c r="I11" s="100">
        <v>117</v>
      </c>
      <c r="J11" s="100">
        <v>113</v>
      </c>
      <c r="K11" s="100">
        <v>105</v>
      </c>
      <c r="L11" s="165">
        <v>112</v>
      </c>
      <c r="M11" s="100">
        <v>114</v>
      </c>
      <c r="N11" s="100">
        <v>116</v>
      </c>
      <c r="O11" s="100">
        <v>122</v>
      </c>
      <c r="P11" s="100">
        <v>122</v>
      </c>
      <c r="Q11" s="100">
        <v>123</v>
      </c>
      <c r="R11" s="100">
        <v>122</v>
      </c>
      <c r="S11" s="100">
        <v>121</v>
      </c>
      <c r="T11" s="100">
        <v>123</v>
      </c>
      <c r="U11" s="100">
        <v>123</v>
      </c>
      <c r="V11" s="100">
        <v>123</v>
      </c>
      <c r="W11" s="100">
        <v>127</v>
      </c>
      <c r="X11" s="165">
        <f t="shared" si="0"/>
        <v>-12</v>
      </c>
      <c r="Y11" s="100">
        <f t="shared" si="0"/>
        <v>-7</v>
      </c>
      <c r="Z11" s="100">
        <f t="shared" si="0"/>
        <v>-4</v>
      </c>
      <c r="AA11" s="100">
        <f t="shared" si="0"/>
        <v>-6</v>
      </c>
      <c r="AB11" s="100">
        <f t="shared" si="0"/>
        <v>-6</v>
      </c>
      <c r="AC11" s="100">
        <f t="shared" si="0"/>
        <v>-7</v>
      </c>
      <c r="AD11" s="100">
        <f t="shared" si="0"/>
        <v>-7</v>
      </c>
      <c r="AE11" s="100">
        <f t="shared" si="0"/>
        <v>-6</v>
      </c>
      <c r="AF11" s="100">
        <f t="shared" si="0"/>
        <v>-10</v>
      </c>
      <c r="AG11" s="200">
        <f t="shared" si="0"/>
        <v>-22</v>
      </c>
      <c r="AH11" s="165">
        <v>132</v>
      </c>
      <c r="AI11" s="100">
        <v>134</v>
      </c>
      <c r="AJ11" s="100">
        <v>134</v>
      </c>
      <c r="AK11" s="100">
        <v>111</v>
      </c>
      <c r="AL11" s="100">
        <v>114</v>
      </c>
      <c r="AM11" s="100">
        <v>115</v>
      </c>
      <c r="AN11" s="100">
        <v>121</v>
      </c>
      <c r="AO11" s="100">
        <v>126</v>
      </c>
      <c r="AP11" s="100">
        <v>123</v>
      </c>
      <c r="AQ11" s="100">
        <v>126</v>
      </c>
      <c r="AR11" s="100">
        <v>126</v>
      </c>
      <c r="AS11" s="200">
        <v>128</v>
      </c>
      <c r="AT11" s="165">
        <f t="shared" ref="AT11:AT14" si="5">L11-AH11</f>
        <v>-20</v>
      </c>
      <c r="AU11" s="100">
        <f t="shared" si="1"/>
        <v>-20</v>
      </c>
      <c r="AV11" s="100">
        <f t="shared" si="1"/>
        <v>-18</v>
      </c>
      <c r="AW11" s="100">
        <f t="shared" si="1"/>
        <v>11</v>
      </c>
      <c r="AX11" s="100">
        <f t="shared" si="1"/>
        <v>8</v>
      </c>
      <c r="AY11" s="100">
        <f t="shared" si="1"/>
        <v>8</v>
      </c>
      <c r="AZ11" s="100">
        <f t="shared" si="1"/>
        <v>1</v>
      </c>
      <c r="BA11" s="100">
        <f t="shared" si="1"/>
        <v>-5</v>
      </c>
      <c r="BB11" s="100">
        <f t="shared" si="1"/>
        <v>0</v>
      </c>
      <c r="BC11" s="100">
        <f t="shared" si="1"/>
        <v>-3</v>
      </c>
      <c r="BD11" s="100">
        <f t="shared" si="1"/>
        <v>-3</v>
      </c>
      <c r="BE11" s="200">
        <f t="shared" si="1"/>
        <v>-1</v>
      </c>
      <c r="BF11" s="165">
        <v>132</v>
      </c>
      <c r="BG11" s="100">
        <v>132</v>
      </c>
      <c r="BH11" s="100">
        <v>129</v>
      </c>
      <c r="BI11" s="100">
        <v>130</v>
      </c>
      <c r="BJ11" s="100">
        <v>134</v>
      </c>
      <c r="BK11" s="100">
        <v>134</v>
      </c>
      <c r="BL11" s="100">
        <v>135</v>
      </c>
      <c r="BM11" s="100">
        <v>136</v>
      </c>
      <c r="BN11" s="100">
        <v>134</v>
      </c>
      <c r="BO11" s="100">
        <v>136</v>
      </c>
      <c r="BP11" s="100">
        <v>134</v>
      </c>
      <c r="BQ11" s="200">
        <v>137</v>
      </c>
      <c r="BR11" s="165">
        <f t="shared" ref="BR11:BR14" si="6">AH11-BF11</f>
        <v>0</v>
      </c>
      <c r="BS11" s="100">
        <f t="shared" ref="BS11:CC14" si="7">AI11-BG11</f>
        <v>2</v>
      </c>
      <c r="BT11" s="100">
        <f t="shared" si="7"/>
        <v>5</v>
      </c>
      <c r="BU11" s="100">
        <f t="shared" si="7"/>
        <v>-19</v>
      </c>
      <c r="BV11" s="100">
        <f t="shared" si="7"/>
        <v>-20</v>
      </c>
      <c r="BW11" s="100">
        <f t="shared" si="7"/>
        <v>-19</v>
      </c>
      <c r="BX11" s="100">
        <f t="shared" si="7"/>
        <v>-14</v>
      </c>
      <c r="BY11" s="100">
        <f t="shared" si="7"/>
        <v>-10</v>
      </c>
      <c r="BZ11" s="100">
        <f t="shared" si="7"/>
        <v>-11</v>
      </c>
      <c r="CA11" s="100">
        <f t="shared" si="7"/>
        <v>-10</v>
      </c>
      <c r="CB11" s="100">
        <f t="shared" si="7"/>
        <v>-8</v>
      </c>
      <c r="CC11" s="200">
        <f t="shared" si="7"/>
        <v>-9</v>
      </c>
      <c r="CD11" s="165">
        <v>141</v>
      </c>
      <c r="CE11" s="100">
        <v>145</v>
      </c>
      <c r="CF11" s="100">
        <v>145</v>
      </c>
      <c r="CG11" s="100">
        <v>145</v>
      </c>
      <c r="CH11" s="100">
        <v>145</v>
      </c>
      <c r="CI11" s="100">
        <v>144</v>
      </c>
      <c r="CJ11" s="100">
        <v>146</v>
      </c>
      <c r="CK11" s="100">
        <v>148</v>
      </c>
      <c r="CL11" s="100">
        <v>150</v>
      </c>
      <c r="CM11" s="100">
        <f>1+151</f>
        <v>152</v>
      </c>
      <c r="CN11" s="100">
        <f>1+149</f>
        <v>150</v>
      </c>
      <c r="CO11" s="200">
        <v>151</v>
      </c>
      <c r="CP11" s="165">
        <f t="shared" si="3"/>
        <v>9</v>
      </c>
      <c r="CQ11" s="100">
        <f t="shared" si="3"/>
        <v>13</v>
      </c>
      <c r="CR11" s="100">
        <f t="shared" si="3"/>
        <v>16</v>
      </c>
      <c r="CS11" s="100">
        <f t="shared" si="3"/>
        <v>15</v>
      </c>
      <c r="CT11" s="100">
        <f t="shared" si="3"/>
        <v>11</v>
      </c>
      <c r="CU11" s="100">
        <f t="shared" si="3"/>
        <v>10</v>
      </c>
      <c r="CV11" s="100">
        <f t="shared" si="3"/>
        <v>11</v>
      </c>
      <c r="CW11" s="100">
        <f t="shared" si="3"/>
        <v>12</v>
      </c>
      <c r="CX11" s="100">
        <f t="shared" si="3"/>
        <v>16</v>
      </c>
      <c r="CY11" s="100">
        <f t="shared" si="3"/>
        <v>16</v>
      </c>
      <c r="CZ11" s="100">
        <f t="shared" si="3"/>
        <v>16</v>
      </c>
      <c r="DA11" s="200">
        <f t="shared" si="3"/>
        <v>14</v>
      </c>
      <c r="DB11" s="165">
        <f>223+10</f>
        <v>233</v>
      </c>
      <c r="DC11" s="100">
        <f>10+223</f>
        <v>233</v>
      </c>
      <c r="DD11" s="100">
        <v>233</v>
      </c>
      <c r="DE11" s="100">
        <f>12+232</f>
        <v>244</v>
      </c>
      <c r="DF11" s="100">
        <f>12+234</f>
        <v>246</v>
      </c>
      <c r="DG11" s="100">
        <v>243</v>
      </c>
      <c r="DH11" s="100">
        <v>261</v>
      </c>
      <c r="DI11" s="100">
        <v>257</v>
      </c>
      <c r="DJ11" s="100">
        <v>257</v>
      </c>
      <c r="DK11" s="100">
        <v>260</v>
      </c>
      <c r="DL11" s="100">
        <v>266</v>
      </c>
      <c r="DM11" s="200"/>
      <c r="DN11" s="165">
        <f t="shared" ref="DN11:DN14" si="8">DB11-CD11</f>
        <v>92</v>
      </c>
      <c r="DO11" s="100">
        <f t="shared" si="4"/>
        <v>88</v>
      </c>
      <c r="DP11" s="100">
        <f t="shared" si="4"/>
        <v>88</v>
      </c>
      <c r="DQ11" s="100">
        <f t="shared" si="4"/>
        <v>99</v>
      </c>
      <c r="DR11" s="100">
        <f t="shared" si="4"/>
        <v>101</v>
      </c>
      <c r="DS11" s="100">
        <f t="shared" si="4"/>
        <v>99</v>
      </c>
      <c r="DT11" s="100">
        <f t="shared" si="4"/>
        <v>115</v>
      </c>
      <c r="DU11" s="100">
        <f t="shared" si="4"/>
        <v>109</v>
      </c>
      <c r="DV11" s="100">
        <f t="shared" si="4"/>
        <v>107</v>
      </c>
      <c r="DW11" s="100">
        <f t="shared" si="4"/>
        <v>108</v>
      </c>
      <c r="DX11" s="100">
        <f t="shared" si="4"/>
        <v>116</v>
      </c>
      <c r="DY11" s="200">
        <f t="shared" si="4"/>
        <v>-151</v>
      </c>
    </row>
    <row r="12" spans="1:129" x14ac:dyDescent="0.25">
      <c r="A12" s="19" t="s">
        <v>36</v>
      </c>
      <c r="B12" s="165">
        <v>184</v>
      </c>
      <c r="C12" s="100">
        <v>185</v>
      </c>
      <c r="D12" s="100">
        <v>184</v>
      </c>
      <c r="E12" s="100">
        <v>182</v>
      </c>
      <c r="F12" s="100">
        <v>182</v>
      </c>
      <c r="G12" s="100">
        <v>182</v>
      </c>
      <c r="H12" s="100">
        <v>179</v>
      </c>
      <c r="I12" s="100">
        <v>181</v>
      </c>
      <c r="J12" s="100">
        <v>182</v>
      </c>
      <c r="K12" s="100">
        <v>184</v>
      </c>
      <c r="L12" s="165">
        <v>184</v>
      </c>
      <c r="M12" s="100">
        <v>184</v>
      </c>
      <c r="N12" s="100">
        <v>184</v>
      </c>
      <c r="O12" s="100">
        <v>184</v>
      </c>
      <c r="P12" s="100">
        <v>183</v>
      </c>
      <c r="Q12" s="100">
        <v>183</v>
      </c>
      <c r="R12" s="100">
        <v>182</v>
      </c>
      <c r="S12" s="100">
        <v>183</v>
      </c>
      <c r="T12" s="100">
        <v>183</v>
      </c>
      <c r="U12" s="100">
        <v>183</v>
      </c>
      <c r="V12" s="100">
        <v>184</v>
      </c>
      <c r="W12" s="100">
        <v>185</v>
      </c>
      <c r="X12" s="165">
        <f t="shared" si="0"/>
        <v>0</v>
      </c>
      <c r="Y12" s="100">
        <f t="shared" si="0"/>
        <v>1</v>
      </c>
      <c r="Z12" s="100">
        <f t="shared" si="0"/>
        <v>1</v>
      </c>
      <c r="AA12" s="100">
        <f t="shared" si="0"/>
        <v>-1</v>
      </c>
      <c r="AB12" s="100">
        <f t="shared" si="0"/>
        <v>0</v>
      </c>
      <c r="AC12" s="100">
        <f t="shared" si="0"/>
        <v>-1</v>
      </c>
      <c r="AD12" s="100">
        <f t="shared" si="0"/>
        <v>-4</v>
      </c>
      <c r="AE12" s="100">
        <f t="shared" si="0"/>
        <v>-2</v>
      </c>
      <c r="AF12" s="100">
        <f t="shared" si="0"/>
        <v>-2</v>
      </c>
      <c r="AG12" s="200">
        <f t="shared" si="0"/>
        <v>-1</v>
      </c>
      <c r="AH12" s="165">
        <v>186</v>
      </c>
      <c r="AI12" s="100">
        <v>186</v>
      </c>
      <c r="AJ12" s="100">
        <v>186</v>
      </c>
      <c r="AK12" s="100">
        <v>187</v>
      </c>
      <c r="AL12" s="100">
        <v>187</v>
      </c>
      <c r="AM12" s="100">
        <v>187</v>
      </c>
      <c r="AN12" s="100">
        <v>187</v>
      </c>
      <c r="AO12" s="100">
        <v>187</v>
      </c>
      <c r="AP12" s="100">
        <v>186</v>
      </c>
      <c r="AQ12" s="100">
        <v>190</v>
      </c>
      <c r="AR12" s="100">
        <v>190</v>
      </c>
      <c r="AS12" s="200">
        <v>190</v>
      </c>
      <c r="AT12" s="165">
        <f t="shared" si="5"/>
        <v>-2</v>
      </c>
      <c r="AU12" s="100">
        <f t="shared" si="1"/>
        <v>-2</v>
      </c>
      <c r="AV12" s="100">
        <f t="shared" si="1"/>
        <v>-2</v>
      </c>
      <c r="AW12" s="100">
        <f t="shared" si="1"/>
        <v>-3</v>
      </c>
      <c r="AX12" s="100">
        <f t="shared" si="1"/>
        <v>-4</v>
      </c>
      <c r="AY12" s="100">
        <f t="shared" si="1"/>
        <v>-4</v>
      </c>
      <c r="AZ12" s="100">
        <f t="shared" si="1"/>
        <v>-5</v>
      </c>
      <c r="BA12" s="100">
        <f t="shared" si="1"/>
        <v>-4</v>
      </c>
      <c r="BB12" s="100">
        <f t="shared" si="1"/>
        <v>-3</v>
      </c>
      <c r="BC12" s="100">
        <f t="shared" si="1"/>
        <v>-7</v>
      </c>
      <c r="BD12" s="100">
        <f t="shared" si="1"/>
        <v>-6</v>
      </c>
      <c r="BE12" s="200">
        <f t="shared" si="1"/>
        <v>-5</v>
      </c>
      <c r="BF12" s="165">
        <v>190</v>
      </c>
      <c r="BG12" s="100">
        <v>190</v>
      </c>
      <c r="BH12" s="100">
        <v>190</v>
      </c>
      <c r="BI12" s="100">
        <v>190</v>
      </c>
      <c r="BJ12" s="100">
        <v>190</v>
      </c>
      <c r="BK12" s="100">
        <v>188</v>
      </c>
      <c r="BL12" s="100">
        <v>187</v>
      </c>
      <c r="BM12" s="100">
        <v>185</v>
      </c>
      <c r="BN12" s="100">
        <v>185</v>
      </c>
      <c r="BO12" s="100">
        <v>185</v>
      </c>
      <c r="BP12" s="100">
        <v>186</v>
      </c>
      <c r="BQ12" s="200">
        <v>190</v>
      </c>
      <c r="BR12" s="165">
        <f t="shared" si="6"/>
        <v>-4</v>
      </c>
      <c r="BS12" s="100">
        <f t="shared" si="7"/>
        <v>-4</v>
      </c>
      <c r="BT12" s="100">
        <f t="shared" si="7"/>
        <v>-4</v>
      </c>
      <c r="BU12" s="100">
        <f t="shared" si="7"/>
        <v>-3</v>
      </c>
      <c r="BV12" s="100">
        <f t="shared" si="7"/>
        <v>-3</v>
      </c>
      <c r="BW12" s="100">
        <f t="shared" si="7"/>
        <v>-1</v>
      </c>
      <c r="BX12" s="100">
        <f t="shared" si="7"/>
        <v>0</v>
      </c>
      <c r="BY12" s="100">
        <f t="shared" si="7"/>
        <v>2</v>
      </c>
      <c r="BZ12" s="100">
        <f t="shared" si="7"/>
        <v>1</v>
      </c>
      <c r="CA12" s="100">
        <f t="shared" si="7"/>
        <v>5</v>
      </c>
      <c r="CB12" s="100">
        <f t="shared" si="7"/>
        <v>4</v>
      </c>
      <c r="CC12" s="200">
        <f t="shared" si="7"/>
        <v>0</v>
      </c>
      <c r="CD12" s="165">
        <v>190</v>
      </c>
      <c r="CE12" s="100">
        <v>190</v>
      </c>
      <c r="CF12" s="100">
        <v>189</v>
      </c>
      <c r="CG12" s="100">
        <v>190</v>
      </c>
      <c r="CH12" s="100">
        <v>190</v>
      </c>
      <c r="CI12" s="100">
        <v>190</v>
      </c>
      <c r="CJ12" s="100">
        <v>190</v>
      </c>
      <c r="CK12" s="100">
        <v>188</v>
      </c>
      <c r="CL12" s="100">
        <v>188</v>
      </c>
      <c r="CM12" s="100">
        <f>139+37</f>
        <v>176</v>
      </c>
      <c r="CN12" s="100">
        <f>138+37</f>
        <v>175</v>
      </c>
      <c r="CO12" s="200">
        <v>176</v>
      </c>
      <c r="CP12" s="165">
        <f t="shared" si="3"/>
        <v>0</v>
      </c>
      <c r="CQ12" s="100">
        <f t="shared" si="3"/>
        <v>0</v>
      </c>
      <c r="CR12" s="100">
        <f t="shared" si="3"/>
        <v>-1</v>
      </c>
      <c r="CS12" s="100">
        <f t="shared" si="3"/>
        <v>0</v>
      </c>
      <c r="CT12" s="100">
        <f t="shared" si="3"/>
        <v>0</v>
      </c>
      <c r="CU12" s="100">
        <f t="shared" si="3"/>
        <v>2</v>
      </c>
      <c r="CV12" s="100">
        <f t="shared" si="3"/>
        <v>3</v>
      </c>
      <c r="CW12" s="100">
        <f t="shared" si="3"/>
        <v>3</v>
      </c>
      <c r="CX12" s="100">
        <f t="shared" si="3"/>
        <v>3</v>
      </c>
      <c r="CY12" s="100">
        <f t="shared" si="3"/>
        <v>-9</v>
      </c>
      <c r="CZ12" s="100">
        <f t="shared" si="3"/>
        <v>-11</v>
      </c>
      <c r="DA12" s="200">
        <f t="shared" si="3"/>
        <v>-14</v>
      </c>
      <c r="DB12" s="165">
        <f>140+34</f>
        <v>174</v>
      </c>
      <c r="DC12" s="100">
        <f>140+38</f>
        <v>178</v>
      </c>
      <c r="DD12" s="100">
        <v>179</v>
      </c>
      <c r="DE12" s="100">
        <f>141+38</f>
        <v>179</v>
      </c>
      <c r="DF12" s="100">
        <f>140+38</f>
        <v>178</v>
      </c>
      <c r="DG12" s="100">
        <v>177</v>
      </c>
      <c r="DH12" s="100">
        <v>179</v>
      </c>
      <c r="DI12" s="100">
        <v>178</v>
      </c>
      <c r="DJ12" s="100">
        <v>177</v>
      </c>
      <c r="DK12" s="100">
        <v>176</v>
      </c>
      <c r="DL12" s="100">
        <v>178</v>
      </c>
      <c r="DM12" s="200"/>
      <c r="DN12" s="165">
        <f t="shared" si="8"/>
        <v>-16</v>
      </c>
      <c r="DO12" s="100">
        <f t="shared" si="4"/>
        <v>-12</v>
      </c>
      <c r="DP12" s="100">
        <f t="shared" si="4"/>
        <v>-10</v>
      </c>
      <c r="DQ12" s="100">
        <f t="shared" si="4"/>
        <v>-11</v>
      </c>
      <c r="DR12" s="100">
        <f t="shared" si="4"/>
        <v>-12</v>
      </c>
      <c r="DS12" s="100">
        <f t="shared" si="4"/>
        <v>-13</v>
      </c>
      <c r="DT12" s="100">
        <f t="shared" si="4"/>
        <v>-11</v>
      </c>
      <c r="DU12" s="100">
        <f t="shared" si="4"/>
        <v>-10</v>
      </c>
      <c r="DV12" s="100">
        <f t="shared" si="4"/>
        <v>-11</v>
      </c>
      <c r="DW12" s="100">
        <f t="shared" si="4"/>
        <v>0</v>
      </c>
      <c r="DX12" s="100">
        <f t="shared" si="4"/>
        <v>3</v>
      </c>
      <c r="DY12" s="200">
        <f t="shared" si="4"/>
        <v>-176</v>
      </c>
    </row>
    <row r="13" spans="1:129" x14ac:dyDescent="0.25">
      <c r="A13" s="19" t="s">
        <v>37</v>
      </c>
      <c r="B13" s="165">
        <v>0</v>
      </c>
      <c r="C13" s="100">
        <v>0</v>
      </c>
      <c r="D13" s="100">
        <v>0</v>
      </c>
      <c r="E13" s="100">
        <v>0</v>
      </c>
      <c r="F13" s="100">
        <v>0</v>
      </c>
      <c r="G13" s="100">
        <v>0</v>
      </c>
      <c r="H13" s="100">
        <v>0</v>
      </c>
      <c r="I13" s="100">
        <v>0</v>
      </c>
      <c r="J13" s="100">
        <v>0</v>
      </c>
      <c r="K13" s="100">
        <v>0</v>
      </c>
      <c r="L13" s="165">
        <v>0</v>
      </c>
      <c r="M13" s="100">
        <v>0</v>
      </c>
      <c r="N13" s="100">
        <v>0</v>
      </c>
      <c r="O13" s="100">
        <v>0</v>
      </c>
      <c r="P13" s="100">
        <v>0</v>
      </c>
      <c r="Q13" s="100">
        <v>0</v>
      </c>
      <c r="R13" s="100">
        <v>0</v>
      </c>
      <c r="S13" s="100">
        <v>0</v>
      </c>
      <c r="T13" s="100">
        <v>0</v>
      </c>
      <c r="U13" s="100">
        <v>0</v>
      </c>
      <c r="V13" s="100">
        <v>0</v>
      </c>
      <c r="W13" s="100">
        <v>0</v>
      </c>
      <c r="X13" s="165">
        <f t="shared" si="0"/>
        <v>0</v>
      </c>
      <c r="Y13" s="100">
        <f t="shared" si="0"/>
        <v>0</v>
      </c>
      <c r="Z13" s="100">
        <f t="shared" si="0"/>
        <v>0</v>
      </c>
      <c r="AA13" s="100">
        <f t="shared" si="0"/>
        <v>0</v>
      </c>
      <c r="AB13" s="100">
        <f t="shared" si="0"/>
        <v>0</v>
      </c>
      <c r="AC13" s="100">
        <f t="shared" si="0"/>
        <v>0</v>
      </c>
      <c r="AD13" s="100">
        <f t="shared" si="0"/>
        <v>0</v>
      </c>
      <c r="AE13" s="100">
        <f t="shared" si="0"/>
        <v>0</v>
      </c>
      <c r="AF13" s="100">
        <f t="shared" si="0"/>
        <v>0</v>
      </c>
      <c r="AG13" s="200">
        <f t="shared" si="0"/>
        <v>0</v>
      </c>
      <c r="AH13" s="165">
        <v>0</v>
      </c>
      <c r="AI13" s="100">
        <v>0</v>
      </c>
      <c r="AJ13" s="100">
        <v>0</v>
      </c>
      <c r="AK13" s="100">
        <v>0</v>
      </c>
      <c r="AL13" s="100">
        <v>0</v>
      </c>
      <c r="AM13" s="100">
        <v>0</v>
      </c>
      <c r="AN13" s="100">
        <v>0</v>
      </c>
      <c r="AO13" s="100">
        <v>0</v>
      </c>
      <c r="AP13" s="100">
        <v>0</v>
      </c>
      <c r="AQ13" s="100">
        <v>0</v>
      </c>
      <c r="AR13" s="100">
        <v>0</v>
      </c>
      <c r="AS13" s="200">
        <v>0</v>
      </c>
      <c r="AT13" s="165">
        <f t="shared" si="5"/>
        <v>0</v>
      </c>
      <c r="AU13" s="100">
        <f t="shared" si="1"/>
        <v>0</v>
      </c>
      <c r="AV13" s="100">
        <f t="shared" si="1"/>
        <v>0</v>
      </c>
      <c r="AW13" s="100">
        <f t="shared" si="1"/>
        <v>0</v>
      </c>
      <c r="AX13" s="100">
        <f t="shared" si="1"/>
        <v>0</v>
      </c>
      <c r="AY13" s="100">
        <f t="shared" si="1"/>
        <v>0</v>
      </c>
      <c r="AZ13" s="100">
        <f t="shared" si="1"/>
        <v>0</v>
      </c>
      <c r="BA13" s="100">
        <f t="shared" si="1"/>
        <v>0</v>
      </c>
      <c r="BB13" s="100">
        <f t="shared" si="1"/>
        <v>0</v>
      </c>
      <c r="BC13" s="100">
        <f t="shared" si="1"/>
        <v>0</v>
      </c>
      <c r="BD13" s="100">
        <f t="shared" si="1"/>
        <v>0</v>
      </c>
      <c r="BE13" s="200">
        <f t="shared" si="1"/>
        <v>0</v>
      </c>
      <c r="BF13" s="165">
        <v>0</v>
      </c>
      <c r="BG13" s="100">
        <v>0</v>
      </c>
      <c r="BH13" s="100">
        <v>0</v>
      </c>
      <c r="BI13" s="100">
        <v>0</v>
      </c>
      <c r="BJ13" s="100">
        <v>0</v>
      </c>
      <c r="BK13" s="100">
        <v>0</v>
      </c>
      <c r="BL13" s="100">
        <v>0</v>
      </c>
      <c r="BM13" s="100">
        <v>0</v>
      </c>
      <c r="BN13" s="100">
        <v>0</v>
      </c>
      <c r="BO13" s="100">
        <v>0</v>
      </c>
      <c r="BP13" s="100">
        <v>0</v>
      </c>
      <c r="BQ13" s="200">
        <v>0</v>
      </c>
      <c r="BR13" s="165">
        <f t="shared" si="6"/>
        <v>0</v>
      </c>
      <c r="BS13" s="100">
        <f t="shared" si="7"/>
        <v>0</v>
      </c>
      <c r="BT13" s="100">
        <f t="shared" si="7"/>
        <v>0</v>
      </c>
      <c r="BU13" s="100">
        <f t="shared" si="7"/>
        <v>0</v>
      </c>
      <c r="BV13" s="100">
        <f t="shared" si="7"/>
        <v>0</v>
      </c>
      <c r="BW13" s="100">
        <f t="shared" si="7"/>
        <v>0</v>
      </c>
      <c r="BX13" s="100">
        <f t="shared" si="7"/>
        <v>0</v>
      </c>
      <c r="BY13" s="100">
        <f t="shared" si="7"/>
        <v>0</v>
      </c>
      <c r="BZ13" s="100">
        <f t="shared" si="7"/>
        <v>0</v>
      </c>
      <c r="CA13" s="100">
        <f t="shared" si="7"/>
        <v>0</v>
      </c>
      <c r="CB13" s="100">
        <f t="shared" si="7"/>
        <v>0</v>
      </c>
      <c r="CC13" s="200">
        <f t="shared" si="7"/>
        <v>0</v>
      </c>
      <c r="CD13" s="165">
        <v>0</v>
      </c>
      <c r="CE13" s="100">
        <v>0</v>
      </c>
      <c r="CF13" s="100">
        <v>0</v>
      </c>
      <c r="CG13" s="100">
        <v>0</v>
      </c>
      <c r="CH13" s="100">
        <v>0</v>
      </c>
      <c r="CI13" s="100">
        <v>0</v>
      </c>
      <c r="CJ13" s="100">
        <v>0</v>
      </c>
      <c r="CK13" s="100">
        <v>0</v>
      </c>
      <c r="CL13" s="100">
        <v>0</v>
      </c>
      <c r="CM13" s="100">
        <f>10+5</f>
        <v>15</v>
      </c>
      <c r="CN13" s="100">
        <f>10+5</f>
        <v>15</v>
      </c>
      <c r="CO13" s="200">
        <v>15</v>
      </c>
      <c r="CP13" s="165">
        <f t="shared" si="3"/>
        <v>0</v>
      </c>
      <c r="CQ13" s="100">
        <f t="shared" si="3"/>
        <v>0</v>
      </c>
      <c r="CR13" s="100">
        <f t="shared" si="3"/>
        <v>0</v>
      </c>
      <c r="CS13" s="100">
        <f t="shared" si="3"/>
        <v>0</v>
      </c>
      <c r="CT13" s="100">
        <f t="shared" si="3"/>
        <v>0</v>
      </c>
      <c r="CU13" s="100">
        <f t="shared" si="3"/>
        <v>0</v>
      </c>
      <c r="CV13" s="100">
        <f t="shared" si="3"/>
        <v>0</v>
      </c>
      <c r="CW13" s="100">
        <f t="shared" si="3"/>
        <v>0</v>
      </c>
      <c r="CX13" s="100">
        <f t="shared" si="3"/>
        <v>0</v>
      </c>
      <c r="CY13" s="100">
        <f t="shared" si="3"/>
        <v>15</v>
      </c>
      <c r="CZ13" s="100">
        <f t="shared" si="3"/>
        <v>15</v>
      </c>
      <c r="DA13" s="200">
        <f t="shared" si="3"/>
        <v>15</v>
      </c>
      <c r="DB13" s="165">
        <v>15</v>
      </c>
      <c r="DC13" s="100">
        <f>10+5</f>
        <v>15</v>
      </c>
      <c r="DD13" s="100">
        <v>15</v>
      </c>
      <c r="DE13" s="100">
        <f>10+5</f>
        <v>15</v>
      </c>
      <c r="DF13" s="100">
        <f>10+5</f>
        <v>15</v>
      </c>
      <c r="DG13" s="100">
        <v>15</v>
      </c>
      <c r="DH13" s="100">
        <v>15</v>
      </c>
      <c r="DI13" s="100">
        <v>15</v>
      </c>
      <c r="DJ13" s="100">
        <v>15</v>
      </c>
      <c r="DK13" s="100">
        <v>15</v>
      </c>
      <c r="DL13" s="100">
        <v>15</v>
      </c>
      <c r="DM13" s="200"/>
      <c r="DN13" s="165">
        <f t="shared" si="8"/>
        <v>15</v>
      </c>
      <c r="DO13" s="100">
        <f t="shared" si="4"/>
        <v>15</v>
      </c>
      <c r="DP13" s="100">
        <f t="shared" si="4"/>
        <v>15</v>
      </c>
      <c r="DQ13" s="100">
        <f t="shared" si="4"/>
        <v>15</v>
      </c>
      <c r="DR13" s="100">
        <f t="shared" si="4"/>
        <v>15</v>
      </c>
      <c r="DS13" s="100">
        <f t="shared" si="4"/>
        <v>15</v>
      </c>
      <c r="DT13" s="100">
        <f t="shared" si="4"/>
        <v>15</v>
      </c>
      <c r="DU13" s="100">
        <f t="shared" si="4"/>
        <v>15</v>
      </c>
      <c r="DV13" s="100">
        <f t="shared" si="4"/>
        <v>15</v>
      </c>
      <c r="DW13" s="100">
        <f t="shared" si="4"/>
        <v>0</v>
      </c>
      <c r="DX13" s="100">
        <f t="shared" si="4"/>
        <v>0</v>
      </c>
      <c r="DY13" s="200">
        <f t="shared" si="4"/>
        <v>-15</v>
      </c>
    </row>
    <row r="14" spans="1:129" x14ac:dyDescent="0.25">
      <c r="A14" s="19" t="s">
        <v>46</v>
      </c>
      <c r="B14" s="165">
        <v>1</v>
      </c>
      <c r="C14" s="100">
        <v>1</v>
      </c>
      <c r="D14" s="100">
        <v>1</v>
      </c>
      <c r="E14" s="100">
        <v>1</v>
      </c>
      <c r="F14" s="100">
        <v>0</v>
      </c>
      <c r="G14" s="100">
        <v>0</v>
      </c>
      <c r="H14" s="100">
        <v>4</v>
      </c>
      <c r="I14" s="100">
        <v>4</v>
      </c>
      <c r="J14" s="100">
        <v>4</v>
      </c>
      <c r="K14" s="100">
        <v>4</v>
      </c>
      <c r="L14" s="165">
        <v>4</v>
      </c>
      <c r="M14" s="100">
        <v>4</v>
      </c>
      <c r="N14" s="100">
        <v>4</v>
      </c>
      <c r="O14" s="100">
        <v>4</v>
      </c>
      <c r="P14" s="100">
        <v>4</v>
      </c>
      <c r="Q14" s="100">
        <v>4</v>
      </c>
      <c r="R14" s="100">
        <v>4</v>
      </c>
      <c r="S14" s="100">
        <v>4</v>
      </c>
      <c r="T14" s="100">
        <v>4</v>
      </c>
      <c r="U14" s="100">
        <v>4</v>
      </c>
      <c r="V14" s="100">
        <v>4</v>
      </c>
      <c r="W14" s="100">
        <v>4</v>
      </c>
      <c r="X14" s="165">
        <f t="shared" si="0"/>
        <v>-3</v>
      </c>
      <c r="Y14" s="100">
        <f t="shared" si="0"/>
        <v>-3</v>
      </c>
      <c r="Z14" s="100">
        <f t="shared" si="0"/>
        <v>-3</v>
      </c>
      <c r="AA14" s="100">
        <f t="shared" si="0"/>
        <v>-3</v>
      </c>
      <c r="AB14" s="100">
        <f t="shared" si="0"/>
        <v>-4</v>
      </c>
      <c r="AC14" s="100">
        <f t="shared" si="0"/>
        <v>-4</v>
      </c>
      <c r="AD14" s="100">
        <f t="shared" si="0"/>
        <v>0</v>
      </c>
      <c r="AE14" s="100">
        <f t="shared" si="0"/>
        <v>0</v>
      </c>
      <c r="AF14" s="100">
        <f t="shared" si="0"/>
        <v>0</v>
      </c>
      <c r="AG14" s="200">
        <f t="shared" si="0"/>
        <v>0</v>
      </c>
      <c r="AH14" s="165">
        <v>4</v>
      </c>
      <c r="AI14" s="100">
        <v>4</v>
      </c>
      <c r="AJ14" s="100">
        <v>4</v>
      </c>
      <c r="AK14" s="100">
        <v>4</v>
      </c>
      <c r="AL14" s="100">
        <v>4</v>
      </c>
      <c r="AM14" s="100">
        <v>4</v>
      </c>
      <c r="AN14" s="100">
        <v>4</v>
      </c>
      <c r="AO14" s="100">
        <v>4</v>
      </c>
      <c r="AP14" s="100">
        <v>4</v>
      </c>
      <c r="AQ14" s="100">
        <v>0</v>
      </c>
      <c r="AR14" s="100">
        <v>0</v>
      </c>
      <c r="AS14" s="100">
        <v>0</v>
      </c>
      <c r="AT14" s="165">
        <f t="shared" si="5"/>
        <v>0</v>
      </c>
      <c r="AU14" s="100">
        <f t="shared" si="1"/>
        <v>0</v>
      </c>
      <c r="AV14" s="100">
        <f t="shared" si="1"/>
        <v>0</v>
      </c>
      <c r="AW14" s="100">
        <f t="shared" si="1"/>
        <v>0</v>
      </c>
      <c r="AX14" s="100">
        <f t="shared" si="1"/>
        <v>0</v>
      </c>
      <c r="AY14" s="100">
        <f t="shared" si="1"/>
        <v>0</v>
      </c>
      <c r="AZ14" s="100">
        <f t="shared" si="1"/>
        <v>0</v>
      </c>
      <c r="BA14" s="100">
        <f t="shared" si="1"/>
        <v>0</v>
      </c>
      <c r="BB14" s="100">
        <f t="shared" si="1"/>
        <v>0</v>
      </c>
      <c r="BC14" s="100">
        <f t="shared" si="1"/>
        <v>4</v>
      </c>
      <c r="BD14" s="100">
        <f t="shared" si="1"/>
        <v>4</v>
      </c>
      <c r="BE14" s="200">
        <f t="shared" si="1"/>
        <v>4</v>
      </c>
      <c r="BF14" s="165">
        <v>0</v>
      </c>
      <c r="BG14" s="100">
        <v>0</v>
      </c>
      <c r="BH14" s="100">
        <v>0</v>
      </c>
      <c r="BI14" s="100">
        <v>0</v>
      </c>
      <c r="BJ14" s="100">
        <v>0</v>
      </c>
      <c r="BK14" s="100">
        <v>0</v>
      </c>
      <c r="BL14" s="100">
        <v>0</v>
      </c>
      <c r="BM14" s="100">
        <v>0</v>
      </c>
      <c r="BN14" s="100">
        <v>0</v>
      </c>
      <c r="BO14" s="100">
        <v>0</v>
      </c>
      <c r="BP14" s="100">
        <v>0</v>
      </c>
      <c r="BQ14" s="200">
        <v>0</v>
      </c>
      <c r="BR14" s="165">
        <f t="shared" si="6"/>
        <v>4</v>
      </c>
      <c r="BS14" s="100">
        <f t="shared" si="7"/>
        <v>4</v>
      </c>
      <c r="BT14" s="100">
        <f t="shared" si="7"/>
        <v>4</v>
      </c>
      <c r="BU14" s="100">
        <f t="shared" si="7"/>
        <v>4</v>
      </c>
      <c r="BV14" s="100">
        <f t="shared" si="7"/>
        <v>4</v>
      </c>
      <c r="BW14" s="100">
        <f t="shared" si="7"/>
        <v>4</v>
      </c>
      <c r="BX14" s="100">
        <f t="shared" si="7"/>
        <v>4</v>
      </c>
      <c r="BY14" s="100">
        <f t="shared" si="7"/>
        <v>4</v>
      </c>
      <c r="BZ14" s="100">
        <f t="shared" si="7"/>
        <v>4</v>
      </c>
      <c r="CA14" s="100">
        <f t="shared" si="7"/>
        <v>0</v>
      </c>
      <c r="CB14" s="100">
        <f t="shared" si="7"/>
        <v>0</v>
      </c>
      <c r="CC14" s="200">
        <f t="shared" si="7"/>
        <v>0</v>
      </c>
      <c r="CD14" s="165">
        <v>0</v>
      </c>
      <c r="CE14" s="100">
        <v>0</v>
      </c>
      <c r="CF14" s="100">
        <v>0</v>
      </c>
      <c r="CG14" s="100">
        <v>0</v>
      </c>
      <c r="CH14" s="100">
        <v>0</v>
      </c>
      <c r="CI14" s="100">
        <v>0</v>
      </c>
      <c r="CJ14" s="100">
        <v>0</v>
      </c>
      <c r="CK14" s="100">
        <v>0</v>
      </c>
      <c r="CL14" s="100">
        <v>0</v>
      </c>
      <c r="CM14" s="100">
        <v>0</v>
      </c>
      <c r="CN14" s="100">
        <v>0</v>
      </c>
      <c r="CO14" s="200">
        <v>0</v>
      </c>
      <c r="CP14" s="165">
        <f t="shared" si="3"/>
        <v>0</v>
      </c>
      <c r="CQ14" s="100">
        <f t="shared" si="3"/>
        <v>0</v>
      </c>
      <c r="CR14" s="100">
        <f t="shared" si="3"/>
        <v>0</v>
      </c>
      <c r="CS14" s="100">
        <f t="shared" si="3"/>
        <v>0</v>
      </c>
      <c r="CT14" s="100">
        <f t="shared" si="3"/>
        <v>0</v>
      </c>
      <c r="CU14" s="100">
        <f t="shared" si="3"/>
        <v>0</v>
      </c>
      <c r="CV14" s="100">
        <f t="shared" si="3"/>
        <v>0</v>
      </c>
      <c r="CW14" s="100">
        <f t="shared" si="3"/>
        <v>0</v>
      </c>
      <c r="CX14" s="100">
        <f t="shared" si="3"/>
        <v>0</v>
      </c>
      <c r="CY14" s="100">
        <f t="shared" si="3"/>
        <v>0</v>
      </c>
      <c r="CZ14" s="100">
        <f t="shared" si="3"/>
        <v>0</v>
      </c>
      <c r="DA14" s="200">
        <f t="shared" si="3"/>
        <v>0</v>
      </c>
      <c r="DB14" s="165">
        <v>0</v>
      </c>
      <c r="DC14" s="100">
        <v>0</v>
      </c>
      <c r="DD14" s="100">
        <v>0</v>
      </c>
      <c r="DE14" s="100">
        <v>0</v>
      </c>
      <c r="DF14" s="100">
        <v>0</v>
      </c>
      <c r="DG14" s="100">
        <v>0</v>
      </c>
      <c r="DH14" s="100">
        <v>0</v>
      </c>
      <c r="DI14" s="100">
        <v>0</v>
      </c>
      <c r="DJ14" s="100">
        <v>0</v>
      </c>
      <c r="DK14" s="100">
        <v>0</v>
      </c>
      <c r="DL14" s="100">
        <v>0</v>
      </c>
      <c r="DM14" s="200"/>
      <c r="DN14" s="165">
        <f t="shared" si="8"/>
        <v>0</v>
      </c>
      <c r="DO14" s="100">
        <f t="shared" si="4"/>
        <v>0</v>
      </c>
      <c r="DP14" s="100">
        <f t="shared" si="4"/>
        <v>0</v>
      </c>
      <c r="DQ14" s="100">
        <f t="shared" si="4"/>
        <v>0</v>
      </c>
      <c r="DR14" s="100">
        <f t="shared" si="4"/>
        <v>0</v>
      </c>
      <c r="DS14" s="100">
        <f t="shared" si="4"/>
        <v>0</v>
      </c>
      <c r="DT14" s="100">
        <f t="shared" si="4"/>
        <v>0</v>
      </c>
      <c r="DU14" s="100">
        <f t="shared" si="4"/>
        <v>0</v>
      </c>
      <c r="DV14" s="100">
        <f t="shared" si="4"/>
        <v>0</v>
      </c>
      <c r="DW14" s="100">
        <f t="shared" si="4"/>
        <v>0</v>
      </c>
      <c r="DX14" s="100">
        <f t="shared" si="4"/>
        <v>0</v>
      </c>
      <c r="DY14" s="200">
        <f t="shared" si="4"/>
        <v>0</v>
      </c>
    </row>
    <row r="15" spans="1:129" ht="15.75" thickBot="1" x14ac:dyDescent="0.3">
      <c r="A15" s="20" t="s">
        <v>39</v>
      </c>
      <c r="B15" s="165">
        <f>SUM(B10:B14)</f>
        <v>1917</v>
      </c>
      <c r="C15" s="100">
        <f t="shared" ref="C15:K15" si="9">SUM(C10:C14)</f>
        <v>1908</v>
      </c>
      <c r="D15" s="100">
        <f t="shared" si="9"/>
        <v>1904</v>
      </c>
      <c r="E15" s="102">
        <f t="shared" si="9"/>
        <v>1898</v>
      </c>
      <c r="F15" s="102">
        <f t="shared" si="9"/>
        <v>1894</v>
      </c>
      <c r="G15" s="102">
        <f t="shared" si="9"/>
        <v>1890</v>
      </c>
      <c r="H15" s="102">
        <f t="shared" si="9"/>
        <v>1902</v>
      </c>
      <c r="I15" s="102">
        <f t="shared" si="9"/>
        <v>1910</v>
      </c>
      <c r="J15" s="102">
        <f t="shared" si="9"/>
        <v>1933</v>
      </c>
      <c r="K15" s="102">
        <f t="shared" si="9"/>
        <v>1935</v>
      </c>
      <c r="L15" s="165">
        <f>SUM(L10:L14)</f>
        <v>1938</v>
      </c>
      <c r="M15" s="100">
        <f t="shared" ref="M15:W15" si="10">SUM(M10:M14)</f>
        <v>1936</v>
      </c>
      <c r="N15" s="100">
        <f t="shared" si="10"/>
        <v>1935</v>
      </c>
      <c r="O15" s="102">
        <f t="shared" si="10"/>
        <v>1935</v>
      </c>
      <c r="P15" s="102">
        <f t="shared" si="10"/>
        <v>1936</v>
      </c>
      <c r="Q15" s="102">
        <f t="shared" si="10"/>
        <v>1938</v>
      </c>
      <c r="R15" s="102">
        <f t="shared" si="10"/>
        <v>1939</v>
      </c>
      <c r="S15" s="102">
        <f t="shared" si="10"/>
        <v>1942</v>
      </c>
      <c r="T15" s="102">
        <f t="shared" si="10"/>
        <v>1947</v>
      </c>
      <c r="U15" s="102">
        <f t="shared" si="10"/>
        <v>1953</v>
      </c>
      <c r="V15" s="102">
        <f t="shared" si="10"/>
        <v>1957</v>
      </c>
      <c r="W15" s="102">
        <f t="shared" si="10"/>
        <v>1962</v>
      </c>
      <c r="X15" s="165">
        <f t="shared" ref="X15:AG15" si="11">N15-B15</f>
        <v>18</v>
      </c>
      <c r="Y15" s="102">
        <f t="shared" si="11"/>
        <v>27</v>
      </c>
      <c r="Z15" s="102">
        <f t="shared" si="11"/>
        <v>32</v>
      </c>
      <c r="AA15" s="102">
        <f t="shared" si="11"/>
        <v>40</v>
      </c>
      <c r="AB15" s="102">
        <f t="shared" si="11"/>
        <v>45</v>
      </c>
      <c r="AC15" s="102">
        <f t="shared" si="11"/>
        <v>52</v>
      </c>
      <c r="AD15" s="102">
        <f t="shared" si="11"/>
        <v>45</v>
      </c>
      <c r="AE15" s="102">
        <f t="shared" si="11"/>
        <v>43</v>
      </c>
      <c r="AF15" s="102">
        <f t="shared" si="11"/>
        <v>24</v>
      </c>
      <c r="AG15" s="202">
        <f t="shared" si="11"/>
        <v>27</v>
      </c>
      <c r="AH15" s="165">
        <f t="shared" ref="AH15:AS15" si="12">SUM(AH10:AH14)</f>
        <v>1963</v>
      </c>
      <c r="AI15" s="100">
        <f t="shared" si="12"/>
        <v>1962</v>
      </c>
      <c r="AJ15" s="100">
        <f t="shared" si="12"/>
        <v>1962</v>
      </c>
      <c r="AK15" s="102">
        <f t="shared" si="12"/>
        <v>1962</v>
      </c>
      <c r="AL15" s="102">
        <f t="shared" si="12"/>
        <v>1962</v>
      </c>
      <c r="AM15" s="102">
        <f t="shared" si="12"/>
        <v>1962</v>
      </c>
      <c r="AN15" s="102">
        <f t="shared" si="12"/>
        <v>1963</v>
      </c>
      <c r="AO15" s="102">
        <f t="shared" si="12"/>
        <v>1964</v>
      </c>
      <c r="AP15" s="102">
        <f t="shared" si="12"/>
        <v>1959</v>
      </c>
      <c r="AQ15" s="102">
        <f t="shared" si="12"/>
        <v>1958</v>
      </c>
      <c r="AR15" s="102">
        <f t="shared" si="12"/>
        <v>1964</v>
      </c>
      <c r="AS15" s="202">
        <f t="shared" si="12"/>
        <v>1969</v>
      </c>
      <c r="AT15" s="165">
        <f t="shared" ref="AT15" si="13">AH15-J15</f>
        <v>30</v>
      </c>
      <c r="AU15" s="100">
        <f t="shared" ref="AU15:BE15" si="14">AI15-K15</f>
        <v>27</v>
      </c>
      <c r="AV15" s="100">
        <f t="shared" si="14"/>
        <v>24</v>
      </c>
      <c r="AW15" s="102">
        <f t="shared" si="14"/>
        <v>26</v>
      </c>
      <c r="AX15" s="102">
        <f t="shared" si="14"/>
        <v>27</v>
      </c>
      <c r="AY15" s="102">
        <f t="shared" si="14"/>
        <v>27</v>
      </c>
      <c r="AZ15" s="102">
        <f t="shared" si="14"/>
        <v>27</v>
      </c>
      <c r="BA15" s="102">
        <f t="shared" si="14"/>
        <v>26</v>
      </c>
      <c r="BB15" s="102">
        <f t="shared" si="14"/>
        <v>20</v>
      </c>
      <c r="BC15" s="102">
        <f t="shared" si="14"/>
        <v>16</v>
      </c>
      <c r="BD15" s="102">
        <f t="shared" si="14"/>
        <v>17</v>
      </c>
      <c r="BE15" s="202">
        <f t="shared" si="14"/>
        <v>16</v>
      </c>
      <c r="BF15" s="165">
        <f>SUM(BF10:BF14)</f>
        <v>1976</v>
      </c>
      <c r="BG15" s="100">
        <f>SUM(BG10:BG14)</f>
        <v>1977</v>
      </c>
      <c r="BH15" s="100">
        <f>SUM(BH10:BH14)</f>
        <v>1981</v>
      </c>
      <c r="BI15" s="102">
        <f>SUM(BI10:BI14)</f>
        <v>1981</v>
      </c>
      <c r="BJ15" s="102">
        <v>1978</v>
      </c>
      <c r="BK15" s="102">
        <v>1970</v>
      </c>
      <c r="BL15" s="102">
        <v>1969</v>
      </c>
      <c r="BM15" s="102">
        <v>1966</v>
      </c>
      <c r="BN15" s="102">
        <v>1965</v>
      </c>
      <c r="BO15" s="102">
        <f>SUM(BO10:BO12)</f>
        <v>1976</v>
      </c>
      <c r="BP15" s="102">
        <v>1984</v>
      </c>
      <c r="BQ15" s="202">
        <v>1993</v>
      </c>
      <c r="BR15" s="165">
        <f t="shared" ref="BR15" si="15">BF15-AH15</f>
        <v>13</v>
      </c>
      <c r="BS15" s="100">
        <f t="shared" ref="BS15:CC15" si="16">BG15-AI15</f>
        <v>15</v>
      </c>
      <c r="BT15" s="100">
        <f t="shared" si="16"/>
        <v>19</v>
      </c>
      <c r="BU15" s="102">
        <f t="shared" si="16"/>
        <v>19</v>
      </c>
      <c r="BV15" s="102">
        <f t="shared" si="16"/>
        <v>16</v>
      </c>
      <c r="BW15" s="102">
        <f t="shared" si="16"/>
        <v>8</v>
      </c>
      <c r="BX15" s="102">
        <f t="shared" si="16"/>
        <v>6</v>
      </c>
      <c r="BY15" s="102">
        <f t="shared" si="16"/>
        <v>2</v>
      </c>
      <c r="BZ15" s="102">
        <f t="shared" si="16"/>
        <v>6</v>
      </c>
      <c r="CA15" s="102">
        <f t="shared" si="16"/>
        <v>18</v>
      </c>
      <c r="CB15" s="102">
        <f t="shared" si="16"/>
        <v>20</v>
      </c>
      <c r="CC15" s="202">
        <f t="shared" si="16"/>
        <v>24</v>
      </c>
      <c r="CD15" s="165">
        <f>SUM(CD10:CD14)</f>
        <v>1995</v>
      </c>
      <c r="CE15" s="100">
        <f t="shared" ref="CE15:CM15" si="17">SUM(CE10:CE12)</f>
        <v>1998</v>
      </c>
      <c r="CF15" s="100">
        <f t="shared" si="17"/>
        <v>1995</v>
      </c>
      <c r="CG15" s="102">
        <f t="shared" si="17"/>
        <v>1994</v>
      </c>
      <c r="CH15" s="102">
        <f t="shared" si="17"/>
        <v>1996</v>
      </c>
      <c r="CI15" s="102">
        <f t="shared" si="17"/>
        <v>1993</v>
      </c>
      <c r="CJ15" s="102">
        <f t="shared" si="17"/>
        <v>1993</v>
      </c>
      <c r="CK15" s="102">
        <f t="shared" si="17"/>
        <v>1994</v>
      </c>
      <c r="CL15" s="102">
        <f t="shared" si="17"/>
        <v>1994</v>
      </c>
      <c r="CM15" s="102">
        <f t="shared" si="17"/>
        <v>2007</v>
      </c>
      <c r="CN15" s="102">
        <f>SUM(CN10:CN14)</f>
        <v>2020</v>
      </c>
      <c r="CO15" s="202">
        <f>SUM(CO10:CO14)</f>
        <v>2042</v>
      </c>
      <c r="CP15" s="165">
        <f t="shared" si="3"/>
        <v>19</v>
      </c>
      <c r="CQ15" s="102">
        <f t="shared" si="3"/>
        <v>21</v>
      </c>
      <c r="CR15" s="102">
        <f t="shared" si="3"/>
        <v>14</v>
      </c>
      <c r="CS15" s="102">
        <f t="shared" si="3"/>
        <v>13</v>
      </c>
      <c r="CT15" s="102">
        <f t="shared" si="3"/>
        <v>18</v>
      </c>
      <c r="CU15" s="102">
        <f t="shared" si="3"/>
        <v>23</v>
      </c>
      <c r="CV15" s="102">
        <f t="shared" si="3"/>
        <v>24</v>
      </c>
      <c r="CW15" s="102">
        <f t="shared" si="3"/>
        <v>28</v>
      </c>
      <c r="CX15" s="102">
        <f t="shared" si="3"/>
        <v>29</v>
      </c>
      <c r="CY15" s="102">
        <f t="shared" si="3"/>
        <v>31</v>
      </c>
      <c r="CZ15" s="102">
        <f t="shared" si="3"/>
        <v>36</v>
      </c>
      <c r="DA15" s="202">
        <f t="shared" si="3"/>
        <v>49</v>
      </c>
      <c r="DB15" s="165">
        <f t="shared" ref="DB15:DK15" si="18">SUM(DB10:DB12)</f>
        <v>2026</v>
      </c>
      <c r="DC15" s="100">
        <f t="shared" si="18"/>
        <v>2033</v>
      </c>
      <c r="DD15" s="100">
        <f>SUM(DD10:DD14)</f>
        <v>2050</v>
      </c>
      <c r="DE15" s="102">
        <f>SUM(DE10:DE14)</f>
        <v>2052</v>
      </c>
      <c r="DF15" s="102">
        <f t="shared" si="18"/>
        <v>2041</v>
      </c>
      <c r="DG15" s="102">
        <v>2035</v>
      </c>
      <c r="DH15" s="102">
        <f t="shared" si="18"/>
        <v>2050</v>
      </c>
      <c r="DI15" s="102">
        <f t="shared" si="18"/>
        <v>2044</v>
      </c>
      <c r="DJ15" s="102">
        <f t="shared" si="18"/>
        <v>2041</v>
      </c>
      <c r="DK15" s="102">
        <f t="shared" si="18"/>
        <v>2055</v>
      </c>
      <c r="DL15" s="102">
        <f>SUM(DL10:DL14)</f>
        <v>2085</v>
      </c>
      <c r="DM15" s="202">
        <f>SUM(DM10:DM14)</f>
        <v>0</v>
      </c>
      <c r="DN15" s="165">
        <f>SUM(DN10:DN14)</f>
        <v>46</v>
      </c>
      <c r="DO15" s="102">
        <f t="shared" ref="DO15:DY15" si="19">SUM(DO10:DO14)</f>
        <v>50</v>
      </c>
      <c r="DP15" s="102">
        <f t="shared" si="19"/>
        <v>55</v>
      </c>
      <c r="DQ15" s="102">
        <f t="shared" si="19"/>
        <v>58</v>
      </c>
      <c r="DR15" s="102">
        <f t="shared" si="19"/>
        <v>60</v>
      </c>
      <c r="DS15" s="102">
        <f t="shared" si="19"/>
        <v>57</v>
      </c>
      <c r="DT15" s="102">
        <f t="shared" si="19"/>
        <v>72</v>
      </c>
      <c r="DU15" s="102">
        <f t="shared" si="19"/>
        <v>65</v>
      </c>
      <c r="DV15" s="102">
        <f t="shared" si="19"/>
        <v>62</v>
      </c>
      <c r="DW15" s="102">
        <f t="shared" si="19"/>
        <v>48</v>
      </c>
      <c r="DX15" s="102">
        <f t="shared" si="19"/>
        <v>65</v>
      </c>
      <c r="DY15" s="202">
        <f t="shared" si="19"/>
        <v>-2042</v>
      </c>
    </row>
    <row r="16" spans="1:129" x14ac:dyDescent="0.25">
      <c r="A16" s="24" t="s">
        <v>17</v>
      </c>
      <c r="B16" s="164"/>
      <c r="C16" s="94"/>
      <c r="D16" s="94"/>
      <c r="E16" s="94"/>
      <c r="F16" s="94"/>
      <c r="G16" s="94"/>
      <c r="H16" s="94"/>
      <c r="I16" s="94"/>
      <c r="J16" s="94"/>
      <c r="K16" s="94"/>
      <c r="L16" s="164"/>
      <c r="M16" s="94"/>
      <c r="N16" s="94"/>
      <c r="O16" s="94"/>
      <c r="P16" s="94"/>
      <c r="Q16" s="94"/>
      <c r="R16" s="94"/>
      <c r="S16" s="94"/>
      <c r="T16" s="94"/>
      <c r="U16" s="94"/>
      <c r="V16" s="94"/>
      <c r="W16" s="94"/>
      <c r="X16" s="164"/>
      <c r="Y16" s="94"/>
      <c r="Z16" s="94"/>
      <c r="AA16" s="94"/>
      <c r="AB16" s="94"/>
      <c r="AC16" s="94"/>
      <c r="AD16" s="94"/>
      <c r="AE16" s="94"/>
      <c r="AF16" s="94"/>
      <c r="AG16" s="95"/>
      <c r="AH16" s="164"/>
      <c r="AI16" s="94"/>
      <c r="AJ16" s="94"/>
      <c r="AK16" s="94"/>
      <c r="AL16" s="94"/>
      <c r="AM16" s="94"/>
      <c r="AN16" s="94"/>
      <c r="AO16" s="94"/>
      <c r="AP16" s="94"/>
      <c r="AQ16" s="94"/>
      <c r="AR16" s="94"/>
      <c r="AS16" s="95"/>
      <c r="AT16" s="164"/>
      <c r="AU16" s="94"/>
      <c r="AV16" s="94"/>
      <c r="AW16" s="94"/>
      <c r="AX16" s="94"/>
      <c r="AY16" s="94"/>
      <c r="AZ16" s="94"/>
      <c r="BA16" s="94"/>
      <c r="BB16" s="94"/>
      <c r="BC16" s="94"/>
      <c r="BD16" s="94"/>
      <c r="BE16" s="95"/>
      <c r="BF16" s="164"/>
      <c r="BG16" s="94"/>
      <c r="BH16" s="94"/>
      <c r="BI16" s="94"/>
      <c r="BJ16" s="94"/>
      <c r="BK16" s="94"/>
      <c r="BL16" s="94"/>
      <c r="BM16" s="94"/>
      <c r="BN16" s="94"/>
      <c r="BO16" s="94"/>
      <c r="BP16" s="94"/>
      <c r="BQ16" s="95"/>
      <c r="BR16" s="164"/>
      <c r="BS16" s="94"/>
      <c r="BT16" s="94"/>
      <c r="BU16" s="94"/>
      <c r="BV16" s="94"/>
      <c r="BW16" s="94"/>
      <c r="BX16" s="94"/>
      <c r="BY16" s="94"/>
      <c r="BZ16" s="94"/>
      <c r="CA16" s="94"/>
      <c r="CB16" s="94"/>
      <c r="CC16" s="95"/>
      <c r="CD16" s="164"/>
      <c r="CE16" s="94"/>
      <c r="CF16" s="94"/>
      <c r="CG16" s="94"/>
      <c r="CH16" s="94"/>
      <c r="CI16" s="94"/>
      <c r="CJ16" s="94"/>
      <c r="CK16" s="94"/>
      <c r="CL16" s="94"/>
      <c r="CM16" s="94"/>
      <c r="CN16" s="94"/>
      <c r="CO16" s="95"/>
      <c r="CP16" s="164"/>
      <c r="CQ16" s="94"/>
      <c r="CR16" s="94"/>
      <c r="CS16" s="94"/>
      <c r="CT16" s="94"/>
      <c r="CU16" s="94"/>
      <c r="CV16" s="94"/>
      <c r="CW16" s="94"/>
      <c r="CX16" s="94"/>
      <c r="CY16" s="94"/>
      <c r="CZ16" s="94"/>
      <c r="DA16" s="95"/>
      <c r="DB16" s="164"/>
      <c r="DC16" s="94"/>
      <c r="DD16" s="94"/>
      <c r="DE16" s="94"/>
      <c r="DF16" s="94"/>
      <c r="DG16" s="94"/>
      <c r="DH16" s="94"/>
      <c r="DI16" s="94"/>
      <c r="DJ16" s="94"/>
      <c r="DK16" s="94"/>
      <c r="DL16" s="94"/>
      <c r="DM16" s="95"/>
      <c r="DN16" s="164"/>
      <c r="DO16" s="94"/>
      <c r="DP16" s="94"/>
      <c r="DQ16" s="94"/>
      <c r="DR16" s="94"/>
      <c r="DS16" s="94"/>
      <c r="DT16" s="94"/>
      <c r="DU16" s="94"/>
      <c r="DV16" s="94"/>
      <c r="DW16" s="94"/>
      <c r="DX16" s="94"/>
      <c r="DY16" s="95"/>
    </row>
    <row r="17" spans="1:129" x14ac:dyDescent="0.25">
      <c r="A17" s="19" t="s">
        <v>34</v>
      </c>
      <c r="B17" s="165">
        <v>671</v>
      </c>
      <c r="C17" s="100">
        <v>339</v>
      </c>
      <c r="D17" s="100">
        <v>901</v>
      </c>
      <c r="E17" s="100">
        <v>453</v>
      </c>
      <c r="F17" s="100">
        <v>775</v>
      </c>
      <c r="G17" s="100">
        <v>740</v>
      </c>
      <c r="H17" s="100">
        <v>398</v>
      </c>
      <c r="I17" s="100">
        <v>644</v>
      </c>
      <c r="J17" s="100">
        <v>312</v>
      </c>
      <c r="K17" s="100">
        <v>593</v>
      </c>
      <c r="L17" s="165">
        <v>454</v>
      </c>
      <c r="M17" s="100">
        <v>185</v>
      </c>
      <c r="N17" s="100">
        <v>484</v>
      </c>
      <c r="O17" s="100">
        <v>265</v>
      </c>
      <c r="P17" s="100">
        <v>861</v>
      </c>
      <c r="Q17" s="100">
        <v>582</v>
      </c>
      <c r="R17" s="100">
        <v>936</v>
      </c>
      <c r="S17" s="100">
        <v>980</v>
      </c>
      <c r="T17" s="100">
        <v>600</v>
      </c>
      <c r="U17" s="100">
        <v>948</v>
      </c>
      <c r="V17" s="100">
        <v>632</v>
      </c>
      <c r="W17" s="100">
        <v>876</v>
      </c>
      <c r="X17" s="165">
        <f t="shared" ref="X17:AG21" si="20">B17-N17</f>
        <v>187</v>
      </c>
      <c r="Y17" s="100">
        <f t="shared" si="20"/>
        <v>74</v>
      </c>
      <c r="Z17" s="100">
        <f t="shared" si="20"/>
        <v>40</v>
      </c>
      <c r="AA17" s="100">
        <f t="shared" si="20"/>
        <v>-129</v>
      </c>
      <c r="AB17" s="100">
        <f t="shared" si="20"/>
        <v>-161</v>
      </c>
      <c r="AC17" s="100">
        <f t="shared" si="20"/>
        <v>-240</v>
      </c>
      <c r="AD17" s="100">
        <f t="shared" si="20"/>
        <v>-202</v>
      </c>
      <c r="AE17" s="100">
        <f t="shared" si="20"/>
        <v>-304</v>
      </c>
      <c r="AF17" s="100">
        <f t="shared" si="20"/>
        <v>-320</v>
      </c>
      <c r="AG17" s="200">
        <f t="shared" si="20"/>
        <v>-283</v>
      </c>
      <c r="AH17" s="165">
        <v>910</v>
      </c>
      <c r="AI17" s="100">
        <v>648</v>
      </c>
      <c r="AJ17" s="100">
        <v>928</v>
      </c>
      <c r="AK17" s="100">
        <v>652</v>
      </c>
      <c r="AL17" s="100">
        <v>0</v>
      </c>
      <c r="AM17" s="100">
        <v>0</v>
      </c>
      <c r="AN17" s="100">
        <v>0</v>
      </c>
      <c r="AO17" s="100">
        <v>0</v>
      </c>
      <c r="AP17" s="100">
        <v>0</v>
      </c>
      <c r="AQ17" s="100">
        <v>0</v>
      </c>
      <c r="AR17" s="100">
        <v>0</v>
      </c>
      <c r="AS17" s="100">
        <v>0</v>
      </c>
      <c r="AT17" s="165">
        <f>L17-AH17</f>
        <v>-456</v>
      </c>
      <c r="AU17" s="100">
        <f t="shared" ref="AU17:BE21" si="21">M17-AI17</f>
        <v>-463</v>
      </c>
      <c r="AV17" s="100">
        <f t="shared" si="21"/>
        <v>-444</v>
      </c>
      <c r="AW17" s="100">
        <f t="shared" si="21"/>
        <v>-387</v>
      </c>
      <c r="AX17" s="100">
        <f t="shared" si="21"/>
        <v>861</v>
      </c>
      <c r="AY17" s="100">
        <f t="shared" si="21"/>
        <v>582</v>
      </c>
      <c r="AZ17" s="100">
        <f t="shared" si="21"/>
        <v>936</v>
      </c>
      <c r="BA17" s="100">
        <f t="shared" si="21"/>
        <v>980</v>
      </c>
      <c r="BB17" s="100">
        <f t="shared" si="21"/>
        <v>600</v>
      </c>
      <c r="BC17" s="100">
        <f t="shared" si="21"/>
        <v>948</v>
      </c>
      <c r="BD17" s="100">
        <f t="shared" si="21"/>
        <v>632</v>
      </c>
      <c r="BE17" s="200">
        <f t="shared" si="21"/>
        <v>876</v>
      </c>
      <c r="BF17" s="165">
        <v>0</v>
      </c>
      <c r="BG17" s="100">
        <v>0</v>
      </c>
      <c r="BH17" s="100">
        <v>0</v>
      </c>
      <c r="BI17" s="100">
        <v>0</v>
      </c>
      <c r="BJ17" s="100">
        <v>0</v>
      </c>
      <c r="BK17" s="100">
        <v>0</v>
      </c>
      <c r="BL17" s="100">
        <v>0</v>
      </c>
      <c r="BM17" s="100">
        <v>0</v>
      </c>
      <c r="BN17" s="100">
        <v>0</v>
      </c>
      <c r="BO17" s="100">
        <v>0</v>
      </c>
      <c r="BP17" s="100">
        <v>0</v>
      </c>
      <c r="BQ17" s="200">
        <v>0</v>
      </c>
      <c r="BR17" s="165">
        <f t="shared" ref="BR17:BR21" si="22">AH17-BF17</f>
        <v>910</v>
      </c>
      <c r="BS17" s="100">
        <f t="shared" ref="BS17:BS21" si="23">AI17-BG17</f>
        <v>648</v>
      </c>
      <c r="BT17" s="100">
        <f t="shared" ref="BT17:BT21" si="24">AJ17-BH17</f>
        <v>928</v>
      </c>
      <c r="BU17" s="100">
        <f t="shared" ref="BU17:BU21" si="25">AK17-BI17</f>
        <v>652</v>
      </c>
      <c r="BV17" s="100">
        <f t="shared" ref="BV17:BV21" si="26">AL17-BJ17</f>
        <v>0</v>
      </c>
      <c r="BW17" s="100">
        <f t="shared" ref="BW17:BW21" si="27">AM17-BK17</f>
        <v>0</v>
      </c>
      <c r="BX17" s="100">
        <f t="shared" ref="BX17:BX21" si="28">AN17-BL17</f>
        <v>0</v>
      </c>
      <c r="BY17" s="100">
        <f t="shared" ref="BY17:BY21" si="29">AO17-BM17</f>
        <v>0</v>
      </c>
      <c r="BZ17" s="100">
        <f t="shared" ref="BZ17:BZ21" si="30">AP17-BN17</f>
        <v>0</v>
      </c>
      <c r="CA17" s="100">
        <f t="shared" ref="CA17:CA21" si="31">AQ17-BO17</f>
        <v>0</v>
      </c>
      <c r="CB17" s="100">
        <f t="shared" ref="CB17:CB21" si="32">AR17-BP17</f>
        <v>0</v>
      </c>
      <c r="CC17" s="200">
        <f t="shared" ref="CC17:CC21" si="33">AS17-BQ17</f>
        <v>0</v>
      </c>
      <c r="CD17" s="165">
        <v>0</v>
      </c>
      <c r="CE17" s="100">
        <v>0</v>
      </c>
      <c r="CF17" s="100">
        <v>0</v>
      </c>
      <c r="CG17" s="100">
        <v>0</v>
      </c>
      <c r="CH17" s="100">
        <v>0</v>
      </c>
      <c r="CI17" s="100">
        <v>0</v>
      </c>
      <c r="CJ17" s="100">
        <v>0</v>
      </c>
      <c r="CK17" s="100">
        <v>0</v>
      </c>
      <c r="CL17" s="100">
        <v>0</v>
      </c>
      <c r="CM17" s="100">
        <v>0</v>
      </c>
      <c r="CN17" s="100">
        <f>409+36</f>
        <v>445</v>
      </c>
      <c r="CO17" s="200">
        <v>299</v>
      </c>
      <c r="CP17" s="165">
        <f t="shared" ref="CP17:DA22" si="34">CD17-BF17</f>
        <v>0</v>
      </c>
      <c r="CQ17" s="100">
        <f t="shared" si="34"/>
        <v>0</v>
      </c>
      <c r="CR17" s="100">
        <f t="shared" si="34"/>
        <v>0</v>
      </c>
      <c r="CS17" s="100">
        <f t="shared" si="34"/>
        <v>0</v>
      </c>
      <c r="CT17" s="100">
        <f t="shared" si="34"/>
        <v>0</v>
      </c>
      <c r="CU17" s="100">
        <f t="shared" si="34"/>
        <v>0</v>
      </c>
      <c r="CV17" s="100">
        <f t="shared" si="34"/>
        <v>0</v>
      </c>
      <c r="CW17" s="100">
        <f t="shared" si="34"/>
        <v>0</v>
      </c>
      <c r="CX17" s="100">
        <f t="shared" si="34"/>
        <v>0</v>
      </c>
      <c r="CY17" s="100">
        <f t="shared" si="34"/>
        <v>0</v>
      </c>
      <c r="CZ17" s="100">
        <f t="shared" si="34"/>
        <v>445</v>
      </c>
      <c r="DA17" s="200">
        <f t="shared" si="34"/>
        <v>299</v>
      </c>
      <c r="DB17" s="165">
        <f>227+20</f>
        <v>247</v>
      </c>
      <c r="DC17" s="100">
        <v>302</v>
      </c>
      <c r="DD17" s="100">
        <v>250</v>
      </c>
      <c r="DE17" s="100">
        <v>230</v>
      </c>
      <c r="DF17" s="100">
        <f>15+160</f>
        <v>175</v>
      </c>
      <c r="DG17" s="100">
        <v>158</v>
      </c>
      <c r="DH17" s="100">
        <v>154</v>
      </c>
      <c r="DI17" s="100">
        <v>166</v>
      </c>
      <c r="DJ17" s="100">
        <v>166</v>
      </c>
      <c r="DK17" s="100">
        <v>177</v>
      </c>
      <c r="DL17" s="100">
        <v>165</v>
      </c>
      <c r="DM17" s="200"/>
      <c r="DN17" s="165">
        <f>DB17-CD17</f>
        <v>247</v>
      </c>
      <c r="DO17" s="100">
        <f t="shared" ref="DO17:DY21" si="35">DC17-CE17</f>
        <v>302</v>
      </c>
      <c r="DP17" s="100">
        <f t="shared" si="35"/>
        <v>250</v>
      </c>
      <c r="DQ17" s="100">
        <f t="shared" si="35"/>
        <v>230</v>
      </c>
      <c r="DR17" s="100">
        <f t="shared" si="35"/>
        <v>175</v>
      </c>
      <c r="DS17" s="100">
        <f t="shared" si="35"/>
        <v>158</v>
      </c>
      <c r="DT17" s="100">
        <f t="shared" si="35"/>
        <v>154</v>
      </c>
      <c r="DU17" s="100">
        <f t="shared" si="35"/>
        <v>166</v>
      </c>
      <c r="DV17" s="100">
        <f t="shared" si="35"/>
        <v>166</v>
      </c>
      <c r="DW17" s="100">
        <f t="shared" si="35"/>
        <v>177</v>
      </c>
      <c r="DX17" s="100">
        <f t="shared" si="35"/>
        <v>-280</v>
      </c>
      <c r="DY17" s="200">
        <f t="shared" si="35"/>
        <v>-299</v>
      </c>
    </row>
    <row r="18" spans="1:129" x14ac:dyDescent="0.25">
      <c r="A18" s="19" t="s">
        <v>35</v>
      </c>
      <c r="B18" s="165">
        <v>0</v>
      </c>
      <c r="C18" s="100">
        <v>0</v>
      </c>
      <c r="D18" s="100">
        <v>0</v>
      </c>
      <c r="E18" s="100">
        <v>0</v>
      </c>
      <c r="F18" s="100">
        <v>0</v>
      </c>
      <c r="G18" s="100">
        <v>0</v>
      </c>
      <c r="H18" s="100">
        <v>0</v>
      </c>
      <c r="I18" s="100">
        <v>0</v>
      </c>
      <c r="J18" s="100">
        <v>0</v>
      </c>
      <c r="K18" s="100">
        <v>0</v>
      </c>
      <c r="L18" s="165">
        <v>0</v>
      </c>
      <c r="M18" s="100">
        <v>0</v>
      </c>
      <c r="N18" s="100">
        <v>0</v>
      </c>
      <c r="O18" s="100">
        <v>0</v>
      </c>
      <c r="P18" s="100">
        <v>0</v>
      </c>
      <c r="Q18" s="100">
        <v>0</v>
      </c>
      <c r="R18" s="100">
        <v>0</v>
      </c>
      <c r="S18" s="100">
        <v>0</v>
      </c>
      <c r="T18" s="100">
        <v>0</v>
      </c>
      <c r="U18" s="100">
        <v>0</v>
      </c>
      <c r="V18" s="100">
        <v>0</v>
      </c>
      <c r="W18" s="100">
        <v>0</v>
      </c>
      <c r="X18" s="165">
        <f t="shared" si="20"/>
        <v>0</v>
      </c>
      <c r="Y18" s="100">
        <f t="shared" si="20"/>
        <v>0</v>
      </c>
      <c r="Z18" s="100">
        <f t="shared" si="20"/>
        <v>0</v>
      </c>
      <c r="AA18" s="100">
        <f t="shared" si="20"/>
        <v>0</v>
      </c>
      <c r="AB18" s="100">
        <f t="shared" si="20"/>
        <v>0</v>
      </c>
      <c r="AC18" s="100">
        <f t="shared" si="20"/>
        <v>0</v>
      </c>
      <c r="AD18" s="100">
        <f t="shared" si="20"/>
        <v>0</v>
      </c>
      <c r="AE18" s="100">
        <f t="shared" si="20"/>
        <v>0</v>
      </c>
      <c r="AF18" s="100">
        <f t="shared" si="20"/>
        <v>0</v>
      </c>
      <c r="AG18" s="200">
        <f t="shared" si="20"/>
        <v>0</v>
      </c>
      <c r="AH18" s="165">
        <v>0</v>
      </c>
      <c r="AI18" s="100">
        <v>0</v>
      </c>
      <c r="AJ18" s="100">
        <v>0</v>
      </c>
      <c r="AK18" s="100">
        <v>0</v>
      </c>
      <c r="AL18" s="100">
        <v>0</v>
      </c>
      <c r="AM18" s="100">
        <v>0</v>
      </c>
      <c r="AN18" s="100">
        <v>0</v>
      </c>
      <c r="AO18" s="100">
        <v>0</v>
      </c>
      <c r="AP18" s="100">
        <v>0</v>
      </c>
      <c r="AQ18" s="100">
        <v>0</v>
      </c>
      <c r="AR18" s="100">
        <v>0</v>
      </c>
      <c r="AS18" s="200">
        <v>0</v>
      </c>
      <c r="AT18" s="165">
        <f t="shared" ref="AT18:AT21" si="36">L18-AH18</f>
        <v>0</v>
      </c>
      <c r="AU18" s="100">
        <f t="shared" si="21"/>
        <v>0</v>
      </c>
      <c r="AV18" s="100">
        <f t="shared" si="21"/>
        <v>0</v>
      </c>
      <c r="AW18" s="100">
        <f t="shared" si="21"/>
        <v>0</v>
      </c>
      <c r="AX18" s="100">
        <f t="shared" si="21"/>
        <v>0</v>
      </c>
      <c r="AY18" s="100">
        <f t="shared" si="21"/>
        <v>0</v>
      </c>
      <c r="AZ18" s="100">
        <f t="shared" si="21"/>
        <v>0</v>
      </c>
      <c r="BA18" s="100">
        <f t="shared" si="21"/>
        <v>0</v>
      </c>
      <c r="BB18" s="100">
        <f t="shared" si="21"/>
        <v>0</v>
      </c>
      <c r="BC18" s="100">
        <f t="shared" si="21"/>
        <v>0</v>
      </c>
      <c r="BD18" s="100">
        <f t="shared" si="21"/>
        <v>0</v>
      </c>
      <c r="BE18" s="200">
        <f t="shared" si="21"/>
        <v>0</v>
      </c>
      <c r="BF18" s="165">
        <v>0</v>
      </c>
      <c r="BG18" s="100">
        <v>0</v>
      </c>
      <c r="BH18" s="100">
        <v>0</v>
      </c>
      <c r="BI18" s="100">
        <v>0</v>
      </c>
      <c r="BJ18" s="100">
        <v>0</v>
      </c>
      <c r="BK18" s="100">
        <v>0</v>
      </c>
      <c r="BL18" s="100">
        <v>0</v>
      </c>
      <c r="BM18" s="100">
        <v>0</v>
      </c>
      <c r="BN18" s="100">
        <v>0</v>
      </c>
      <c r="BO18" s="100">
        <v>0</v>
      </c>
      <c r="BP18" s="100">
        <v>0</v>
      </c>
      <c r="BQ18" s="200">
        <v>0</v>
      </c>
      <c r="BR18" s="165">
        <f t="shared" si="22"/>
        <v>0</v>
      </c>
      <c r="BS18" s="100">
        <f t="shared" si="23"/>
        <v>0</v>
      </c>
      <c r="BT18" s="100">
        <f t="shared" si="24"/>
        <v>0</v>
      </c>
      <c r="BU18" s="100">
        <f t="shared" si="25"/>
        <v>0</v>
      </c>
      <c r="BV18" s="100">
        <f t="shared" si="26"/>
        <v>0</v>
      </c>
      <c r="BW18" s="100">
        <f t="shared" si="27"/>
        <v>0</v>
      </c>
      <c r="BX18" s="100">
        <f t="shared" si="28"/>
        <v>0</v>
      </c>
      <c r="BY18" s="100">
        <f t="shared" si="29"/>
        <v>0</v>
      </c>
      <c r="BZ18" s="100">
        <f t="shared" si="30"/>
        <v>0</v>
      </c>
      <c r="CA18" s="100">
        <f t="shared" si="31"/>
        <v>0</v>
      </c>
      <c r="CB18" s="100">
        <f t="shared" si="32"/>
        <v>0</v>
      </c>
      <c r="CC18" s="200">
        <f t="shared" si="33"/>
        <v>0</v>
      </c>
      <c r="CD18" s="165">
        <v>0</v>
      </c>
      <c r="CE18" s="100">
        <v>0</v>
      </c>
      <c r="CF18" s="100">
        <v>0</v>
      </c>
      <c r="CG18" s="100">
        <v>0</v>
      </c>
      <c r="CH18" s="100">
        <v>0</v>
      </c>
      <c r="CI18" s="100">
        <v>0</v>
      </c>
      <c r="CJ18" s="100">
        <v>0</v>
      </c>
      <c r="CK18" s="100">
        <v>0</v>
      </c>
      <c r="CL18" s="100">
        <v>0</v>
      </c>
      <c r="CM18" s="100">
        <v>0</v>
      </c>
      <c r="CN18" s="100">
        <v>38</v>
      </c>
      <c r="CO18" s="200">
        <v>31</v>
      </c>
      <c r="CP18" s="165">
        <f t="shared" si="34"/>
        <v>0</v>
      </c>
      <c r="CQ18" s="100">
        <f t="shared" si="34"/>
        <v>0</v>
      </c>
      <c r="CR18" s="100">
        <f t="shared" si="34"/>
        <v>0</v>
      </c>
      <c r="CS18" s="100">
        <f t="shared" si="34"/>
        <v>0</v>
      </c>
      <c r="CT18" s="100">
        <f t="shared" si="34"/>
        <v>0</v>
      </c>
      <c r="CU18" s="100">
        <f t="shared" si="34"/>
        <v>0</v>
      </c>
      <c r="CV18" s="100">
        <f t="shared" si="34"/>
        <v>0</v>
      </c>
      <c r="CW18" s="100">
        <f t="shared" si="34"/>
        <v>0</v>
      </c>
      <c r="CX18" s="100">
        <f t="shared" si="34"/>
        <v>0</v>
      </c>
      <c r="CY18" s="100">
        <f t="shared" si="34"/>
        <v>0</v>
      </c>
      <c r="CZ18" s="100">
        <f t="shared" si="34"/>
        <v>38</v>
      </c>
      <c r="DA18" s="200">
        <f t="shared" si="34"/>
        <v>31</v>
      </c>
      <c r="DB18" s="165">
        <f>61+2</f>
        <v>63</v>
      </c>
      <c r="DC18" s="100">
        <v>82</v>
      </c>
      <c r="DD18" s="100">
        <v>81</v>
      </c>
      <c r="DE18" s="100">
        <v>93</v>
      </c>
      <c r="DF18" s="100">
        <f>3+74</f>
        <v>77</v>
      </c>
      <c r="DG18" s="100">
        <v>63</v>
      </c>
      <c r="DH18" s="100">
        <v>64</v>
      </c>
      <c r="DI18" s="100">
        <v>55</v>
      </c>
      <c r="DJ18" s="100">
        <v>55</v>
      </c>
      <c r="DK18" s="100">
        <v>51</v>
      </c>
      <c r="DL18" s="100">
        <v>49</v>
      </c>
      <c r="DM18" s="200"/>
      <c r="DN18" s="165">
        <f t="shared" ref="DN18:DN21" si="37">DB18-CD18</f>
        <v>63</v>
      </c>
      <c r="DO18" s="100">
        <f t="shared" si="35"/>
        <v>82</v>
      </c>
      <c r="DP18" s="100">
        <f t="shared" si="35"/>
        <v>81</v>
      </c>
      <c r="DQ18" s="100">
        <f t="shared" si="35"/>
        <v>93</v>
      </c>
      <c r="DR18" s="100">
        <f t="shared" si="35"/>
        <v>77</v>
      </c>
      <c r="DS18" s="100">
        <f t="shared" si="35"/>
        <v>63</v>
      </c>
      <c r="DT18" s="100">
        <f t="shared" si="35"/>
        <v>64</v>
      </c>
      <c r="DU18" s="100">
        <f t="shared" si="35"/>
        <v>55</v>
      </c>
      <c r="DV18" s="100">
        <f t="shared" si="35"/>
        <v>55</v>
      </c>
      <c r="DW18" s="100">
        <f t="shared" si="35"/>
        <v>51</v>
      </c>
      <c r="DX18" s="100">
        <f t="shared" si="35"/>
        <v>11</v>
      </c>
      <c r="DY18" s="200">
        <f t="shared" si="35"/>
        <v>-31</v>
      </c>
    </row>
    <row r="19" spans="1:129" x14ac:dyDescent="0.25">
      <c r="A19" s="19" t="s">
        <v>36</v>
      </c>
      <c r="B19" s="165">
        <v>41</v>
      </c>
      <c r="C19" s="100">
        <v>27</v>
      </c>
      <c r="D19" s="100">
        <v>45</v>
      </c>
      <c r="E19" s="100">
        <v>32</v>
      </c>
      <c r="F19" s="100">
        <v>45</v>
      </c>
      <c r="G19" s="100">
        <v>48</v>
      </c>
      <c r="H19" s="100">
        <v>28</v>
      </c>
      <c r="I19" s="100">
        <v>48</v>
      </c>
      <c r="J19" s="100">
        <v>33</v>
      </c>
      <c r="K19" s="100">
        <v>57</v>
      </c>
      <c r="L19" s="165">
        <v>48</v>
      </c>
      <c r="M19" s="100">
        <v>31</v>
      </c>
      <c r="N19" s="100">
        <v>57</v>
      </c>
      <c r="O19" s="100">
        <v>44</v>
      </c>
      <c r="P19" s="100">
        <v>87</v>
      </c>
      <c r="Q19" s="100">
        <v>69</v>
      </c>
      <c r="R19" s="100">
        <v>77</v>
      </c>
      <c r="S19" s="100">
        <v>96</v>
      </c>
      <c r="T19" s="100">
        <v>44</v>
      </c>
      <c r="U19" s="100">
        <v>65</v>
      </c>
      <c r="V19" s="100">
        <v>40</v>
      </c>
      <c r="W19" s="100">
        <v>61</v>
      </c>
      <c r="X19" s="165">
        <f t="shared" si="20"/>
        <v>-16</v>
      </c>
      <c r="Y19" s="100">
        <f t="shared" si="20"/>
        <v>-17</v>
      </c>
      <c r="Z19" s="100">
        <f t="shared" si="20"/>
        <v>-42</v>
      </c>
      <c r="AA19" s="100">
        <f t="shared" si="20"/>
        <v>-37</v>
      </c>
      <c r="AB19" s="100">
        <f t="shared" si="20"/>
        <v>-32</v>
      </c>
      <c r="AC19" s="100">
        <f t="shared" si="20"/>
        <v>-48</v>
      </c>
      <c r="AD19" s="100">
        <f t="shared" si="20"/>
        <v>-16</v>
      </c>
      <c r="AE19" s="100">
        <f t="shared" si="20"/>
        <v>-17</v>
      </c>
      <c r="AF19" s="100">
        <f t="shared" si="20"/>
        <v>-7</v>
      </c>
      <c r="AG19" s="200">
        <f t="shared" si="20"/>
        <v>-4</v>
      </c>
      <c r="AH19" s="165">
        <v>88</v>
      </c>
      <c r="AI19" s="100">
        <v>43</v>
      </c>
      <c r="AJ19" s="100">
        <v>96</v>
      </c>
      <c r="AK19" s="100">
        <v>117</v>
      </c>
      <c r="AL19" s="100">
        <v>0</v>
      </c>
      <c r="AM19" s="100">
        <v>0</v>
      </c>
      <c r="AN19" s="100">
        <v>0</v>
      </c>
      <c r="AO19" s="100">
        <v>0</v>
      </c>
      <c r="AP19" s="100">
        <v>0</v>
      </c>
      <c r="AQ19" s="100">
        <v>0</v>
      </c>
      <c r="AR19" s="100">
        <v>0</v>
      </c>
      <c r="AS19" s="100">
        <v>0</v>
      </c>
      <c r="AT19" s="165">
        <f t="shared" si="36"/>
        <v>-40</v>
      </c>
      <c r="AU19" s="100">
        <f t="shared" si="21"/>
        <v>-12</v>
      </c>
      <c r="AV19" s="100">
        <f t="shared" si="21"/>
        <v>-39</v>
      </c>
      <c r="AW19" s="100">
        <f t="shared" si="21"/>
        <v>-73</v>
      </c>
      <c r="AX19" s="100">
        <f t="shared" si="21"/>
        <v>87</v>
      </c>
      <c r="AY19" s="100">
        <f t="shared" si="21"/>
        <v>69</v>
      </c>
      <c r="AZ19" s="100">
        <f t="shared" si="21"/>
        <v>77</v>
      </c>
      <c r="BA19" s="100">
        <f t="shared" si="21"/>
        <v>96</v>
      </c>
      <c r="BB19" s="100">
        <f t="shared" si="21"/>
        <v>44</v>
      </c>
      <c r="BC19" s="100">
        <f t="shared" si="21"/>
        <v>65</v>
      </c>
      <c r="BD19" s="100">
        <f t="shared" si="21"/>
        <v>40</v>
      </c>
      <c r="BE19" s="200">
        <f t="shared" si="21"/>
        <v>61</v>
      </c>
      <c r="BF19" s="165">
        <v>0</v>
      </c>
      <c r="BG19" s="100">
        <v>0</v>
      </c>
      <c r="BH19" s="100">
        <v>0</v>
      </c>
      <c r="BI19" s="100">
        <v>0</v>
      </c>
      <c r="BJ19" s="100">
        <v>0</v>
      </c>
      <c r="BK19" s="100">
        <v>0</v>
      </c>
      <c r="BL19" s="100">
        <v>0</v>
      </c>
      <c r="BM19" s="100">
        <v>0</v>
      </c>
      <c r="BN19" s="100">
        <v>0</v>
      </c>
      <c r="BO19" s="100">
        <v>0</v>
      </c>
      <c r="BP19" s="100">
        <v>0</v>
      </c>
      <c r="BQ19" s="200">
        <v>0</v>
      </c>
      <c r="BR19" s="165">
        <f t="shared" si="22"/>
        <v>88</v>
      </c>
      <c r="BS19" s="100">
        <f t="shared" si="23"/>
        <v>43</v>
      </c>
      <c r="BT19" s="100">
        <f t="shared" si="24"/>
        <v>96</v>
      </c>
      <c r="BU19" s="100">
        <f t="shared" si="25"/>
        <v>117</v>
      </c>
      <c r="BV19" s="100">
        <f t="shared" si="26"/>
        <v>0</v>
      </c>
      <c r="BW19" s="100">
        <f t="shared" si="27"/>
        <v>0</v>
      </c>
      <c r="BX19" s="100">
        <f t="shared" si="28"/>
        <v>0</v>
      </c>
      <c r="BY19" s="100">
        <f t="shared" si="29"/>
        <v>0</v>
      </c>
      <c r="BZ19" s="100">
        <f t="shared" si="30"/>
        <v>0</v>
      </c>
      <c r="CA19" s="100">
        <f t="shared" si="31"/>
        <v>0</v>
      </c>
      <c r="CB19" s="100">
        <f t="shared" si="32"/>
        <v>0</v>
      </c>
      <c r="CC19" s="200">
        <f t="shared" si="33"/>
        <v>0</v>
      </c>
      <c r="CD19" s="165">
        <v>0</v>
      </c>
      <c r="CE19" s="100">
        <v>0</v>
      </c>
      <c r="CF19" s="100">
        <v>0</v>
      </c>
      <c r="CG19" s="100">
        <v>0</v>
      </c>
      <c r="CH19" s="100">
        <v>0</v>
      </c>
      <c r="CI19" s="100">
        <v>0</v>
      </c>
      <c r="CJ19" s="100">
        <v>0</v>
      </c>
      <c r="CK19" s="100">
        <v>0</v>
      </c>
      <c r="CL19" s="100">
        <v>0</v>
      </c>
      <c r="CM19" s="100">
        <v>0</v>
      </c>
      <c r="CN19" s="100">
        <f>44+8</f>
        <v>52</v>
      </c>
      <c r="CO19" s="200">
        <v>22</v>
      </c>
      <c r="CP19" s="165">
        <f t="shared" si="34"/>
        <v>0</v>
      </c>
      <c r="CQ19" s="100">
        <f t="shared" si="34"/>
        <v>0</v>
      </c>
      <c r="CR19" s="100">
        <f t="shared" si="34"/>
        <v>0</v>
      </c>
      <c r="CS19" s="100">
        <f t="shared" si="34"/>
        <v>0</v>
      </c>
      <c r="CT19" s="100">
        <f t="shared" si="34"/>
        <v>0</v>
      </c>
      <c r="CU19" s="100">
        <f t="shared" si="34"/>
        <v>0</v>
      </c>
      <c r="CV19" s="100">
        <f t="shared" si="34"/>
        <v>0</v>
      </c>
      <c r="CW19" s="100">
        <f t="shared" si="34"/>
        <v>0</v>
      </c>
      <c r="CX19" s="100">
        <f t="shared" si="34"/>
        <v>0</v>
      </c>
      <c r="CY19" s="100">
        <f t="shared" si="34"/>
        <v>0</v>
      </c>
      <c r="CZ19" s="100">
        <f t="shared" si="34"/>
        <v>52</v>
      </c>
      <c r="DA19" s="200">
        <f t="shared" si="34"/>
        <v>22</v>
      </c>
      <c r="DB19" s="165">
        <f>36+8</f>
        <v>44</v>
      </c>
      <c r="DC19" s="100">
        <v>37</v>
      </c>
      <c r="DD19" s="100">
        <v>38</v>
      </c>
      <c r="DE19" s="100">
        <v>28</v>
      </c>
      <c r="DF19" s="100">
        <f>20+5</f>
        <v>25</v>
      </c>
      <c r="DG19" s="100">
        <v>23</v>
      </c>
      <c r="DH19" s="100">
        <v>24</v>
      </c>
      <c r="DI19" s="100">
        <v>28</v>
      </c>
      <c r="DJ19" s="100">
        <v>28</v>
      </c>
      <c r="DK19" s="100">
        <v>33</v>
      </c>
      <c r="DL19" s="100">
        <v>29</v>
      </c>
      <c r="DM19" s="200"/>
      <c r="DN19" s="165">
        <f t="shared" si="37"/>
        <v>44</v>
      </c>
      <c r="DO19" s="100">
        <f t="shared" si="35"/>
        <v>37</v>
      </c>
      <c r="DP19" s="100">
        <f t="shared" si="35"/>
        <v>38</v>
      </c>
      <c r="DQ19" s="100">
        <f t="shared" si="35"/>
        <v>28</v>
      </c>
      <c r="DR19" s="100">
        <f t="shared" si="35"/>
        <v>25</v>
      </c>
      <c r="DS19" s="100">
        <f t="shared" si="35"/>
        <v>23</v>
      </c>
      <c r="DT19" s="100">
        <f t="shared" si="35"/>
        <v>24</v>
      </c>
      <c r="DU19" s="100">
        <f t="shared" si="35"/>
        <v>28</v>
      </c>
      <c r="DV19" s="100">
        <f t="shared" si="35"/>
        <v>28</v>
      </c>
      <c r="DW19" s="100">
        <f t="shared" si="35"/>
        <v>33</v>
      </c>
      <c r="DX19" s="100">
        <f t="shared" si="35"/>
        <v>-23</v>
      </c>
      <c r="DY19" s="200">
        <f t="shared" si="35"/>
        <v>-22</v>
      </c>
    </row>
    <row r="20" spans="1:129" x14ac:dyDescent="0.25">
      <c r="A20" s="19" t="s">
        <v>37</v>
      </c>
      <c r="B20" s="165">
        <v>0</v>
      </c>
      <c r="C20" s="100">
        <v>0</v>
      </c>
      <c r="D20" s="100">
        <v>0</v>
      </c>
      <c r="E20" s="100">
        <v>0</v>
      </c>
      <c r="F20" s="100">
        <v>0</v>
      </c>
      <c r="G20" s="100">
        <v>0</v>
      </c>
      <c r="H20" s="100">
        <v>0</v>
      </c>
      <c r="I20" s="100">
        <v>0</v>
      </c>
      <c r="J20" s="100">
        <v>0</v>
      </c>
      <c r="K20" s="100">
        <v>0</v>
      </c>
      <c r="L20" s="165">
        <v>0</v>
      </c>
      <c r="M20" s="100">
        <v>0</v>
      </c>
      <c r="N20" s="100">
        <v>0</v>
      </c>
      <c r="O20" s="100">
        <v>0</v>
      </c>
      <c r="P20" s="100">
        <v>0</v>
      </c>
      <c r="Q20" s="100">
        <v>0</v>
      </c>
      <c r="R20" s="100">
        <v>0</v>
      </c>
      <c r="S20" s="100">
        <v>0</v>
      </c>
      <c r="T20" s="100">
        <v>0</v>
      </c>
      <c r="U20" s="100">
        <v>0</v>
      </c>
      <c r="V20" s="100">
        <v>0</v>
      </c>
      <c r="W20" s="100">
        <v>0</v>
      </c>
      <c r="X20" s="165">
        <f t="shared" si="20"/>
        <v>0</v>
      </c>
      <c r="Y20" s="100">
        <f t="shared" si="20"/>
        <v>0</v>
      </c>
      <c r="Z20" s="100">
        <f t="shared" si="20"/>
        <v>0</v>
      </c>
      <c r="AA20" s="100">
        <f t="shared" si="20"/>
        <v>0</v>
      </c>
      <c r="AB20" s="100">
        <f t="shared" si="20"/>
        <v>0</v>
      </c>
      <c r="AC20" s="100">
        <f t="shared" si="20"/>
        <v>0</v>
      </c>
      <c r="AD20" s="100">
        <f t="shared" si="20"/>
        <v>0</v>
      </c>
      <c r="AE20" s="100">
        <f t="shared" si="20"/>
        <v>0</v>
      </c>
      <c r="AF20" s="100">
        <f t="shared" si="20"/>
        <v>0</v>
      </c>
      <c r="AG20" s="200">
        <f t="shared" si="20"/>
        <v>0</v>
      </c>
      <c r="AH20" s="165">
        <v>0</v>
      </c>
      <c r="AI20" s="100">
        <v>0</v>
      </c>
      <c r="AJ20" s="100">
        <v>0</v>
      </c>
      <c r="AK20" s="100">
        <v>0</v>
      </c>
      <c r="AL20" s="100">
        <v>0</v>
      </c>
      <c r="AM20" s="100">
        <v>0</v>
      </c>
      <c r="AN20" s="100">
        <v>0</v>
      </c>
      <c r="AO20" s="100">
        <v>0</v>
      </c>
      <c r="AP20" s="100">
        <v>0</v>
      </c>
      <c r="AQ20" s="100">
        <v>0</v>
      </c>
      <c r="AR20" s="100">
        <v>0</v>
      </c>
      <c r="AS20" s="200">
        <v>0</v>
      </c>
      <c r="AT20" s="165">
        <f t="shared" si="36"/>
        <v>0</v>
      </c>
      <c r="AU20" s="100">
        <f t="shared" si="21"/>
        <v>0</v>
      </c>
      <c r="AV20" s="100">
        <f t="shared" si="21"/>
        <v>0</v>
      </c>
      <c r="AW20" s="100">
        <f t="shared" si="21"/>
        <v>0</v>
      </c>
      <c r="AX20" s="100">
        <f t="shared" si="21"/>
        <v>0</v>
      </c>
      <c r="AY20" s="100">
        <f t="shared" si="21"/>
        <v>0</v>
      </c>
      <c r="AZ20" s="100">
        <f t="shared" si="21"/>
        <v>0</v>
      </c>
      <c r="BA20" s="100">
        <f t="shared" si="21"/>
        <v>0</v>
      </c>
      <c r="BB20" s="100">
        <f t="shared" si="21"/>
        <v>0</v>
      </c>
      <c r="BC20" s="100">
        <f t="shared" si="21"/>
        <v>0</v>
      </c>
      <c r="BD20" s="100">
        <f t="shared" si="21"/>
        <v>0</v>
      </c>
      <c r="BE20" s="200">
        <f t="shared" si="21"/>
        <v>0</v>
      </c>
      <c r="BF20" s="165">
        <v>0</v>
      </c>
      <c r="BG20" s="100">
        <v>0</v>
      </c>
      <c r="BH20" s="100">
        <v>0</v>
      </c>
      <c r="BI20" s="100">
        <v>0</v>
      </c>
      <c r="BJ20" s="100">
        <v>0</v>
      </c>
      <c r="BK20" s="100">
        <v>0</v>
      </c>
      <c r="BL20" s="100">
        <v>0</v>
      </c>
      <c r="BM20" s="100">
        <v>0</v>
      </c>
      <c r="BN20" s="100">
        <v>0</v>
      </c>
      <c r="BO20" s="100">
        <v>0</v>
      </c>
      <c r="BP20" s="100">
        <v>0</v>
      </c>
      <c r="BQ20" s="200">
        <v>0</v>
      </c>
      <c r="BR20" s="165">
        <f t="shared" si="22"/>
        <v>0</v>
      </c>
      <c r="BS20" s="100">
        <f t="shared" si="23"/>
        <v>0</v>
      </c>
      <c r="BT20" s="100">
        <f t="shared" si="24"/>
        <v>0</v>
      </c>
      <c r="BU20" s="100">
        <f t="shared" si="25"/>
        <v>0</v>
      </c>
      <c r="BV20" s="100">
        <f t="shared" si="26"/>
        <v>0</v>
      </c>
      <c r="BW20" s="100">
        <f t="shared" si="27"/>
        <v>0</v>
      </c>
      <c r="BX20" s="100">
        <f t="shared" si="28"/>
        <v>0</v>
      </c>
      <c r="BY20" s="100">
        <f t="shared" si="29"/>
        <v>0</v>
      </c>
      <c r="BZ20" s="100">
        <f t="shared" si="30"/>
        <v>0</v>
      </c>
      <c r="CA20" s="100">
        <f t="shared" si="31"/>
        <v>0</v>
      </c>
      <c r="CB20" s="100">
        <f t="shared" si="32"/>
        <v>0</v>
      </c>
      <c r="CC20" s="200">
        <f t="shared" si="33"/>
        <v>0</v>
      </c>
      <c r="CD20" s="165">
        <v>0</v>
      </c>
      <c r="CE20" s="100">
        <v>0</v>
      </c>
      <c r="CF20" s="100">
        <v>0</v>
      </c>
      <c r="CG20" s="100">
        <v>0</v>
      </c>
      <c r="CH20" s="100">
        <v>0</v>
      </c>
      <c r="CI20" s="100">
        <v>0</v>
      </c>
      <c r="CJ20" s="100">
        <v>0</v>
      </c>
      <c r="CK20" s="100">
        <v>0</v>
      </c>
      <c r="CL20" s="100">
        <v>0</v>
      </c>
      <c r="CM20" s="100">
        <v>0</v>
      </c>
      <c r="CN20" s="100">
        <v>2</v>
      </c>
      <c r="CO20" s="200">
        <v>0</v>
      </c>
      <c r="CP20" s="165">
        <f t="shared" si="34"/>
        <v>0</v>
      </c>
      <c r="CQ20" s="100">
        <f t="shared" si="34"/>
        <v>0</v>
      </c>
      <c r="CR20" s="100">
        <f t="shared" si="34"/>
        <v>0</v>
      </c>
      <c r="CS20" s="100">
        <f t="shared" si="34"/>
        <v>0</v>
      </c>
      <c r="CT20" s="100">
        <f t="shared" si="34"/>
        <v>0</v>
      </c>
      <c r="CU20" s="100">
        <f t="shared" si="34"/>
        <v>0</v>
      </c>
      <c r="CV20" s="100">
        <f t="shared" si="34"/>
        <v>0</v>
      </c>
      <c r="CW20" s="100">
        <f t="shared" si="34"/>
        <v>0</v>
      </c>
      <c r="CX20" s="100">
        <f t="shared" si="34"/>
        <v>0</v>
      </c>
      <c r="CY20" s="100">
        <f t="shared" si="34"/>
        <v>0</v>
      </c>
      <c r="CZ20" s="100">
        <f t="shared" si="34"/>
        <v>2</v>
      </c>
      <c r="DA20" s="200">
        <f t="shared" si="34"/>
        <v>0</v>
      </c>
      <c r="DB20" s="165">
        <v>1</v>
      </c>
      <c r="DC20" s="100">
        <v>3</v>
      </c>
      <c r="DD20" s="100">
        <v>0</v>
      </c>
      <c r="DE20" s="100">
        <v>1</v>
      </c>
      <c r="DF20" s="100">
        <v>1</v>
      </c>
      <c r="DG20" s="100">
        <v>1</v>
      </c>
      <c r="DH20" s="100">
        <v>0</v>
      </c>
      <c r="DI20" s="100">
        <v>2</v>
      </c>
      <c r="DJ20" s="100">
        <v>2</v>
      </c>
      <c r="DK20" s="100">
        <v>3</v>
      </c>
      <c r="DL20" s="100">
        <v>2</v>
      </c>
      <c r="DM20" s="200"/>
      <c r="DN20" s="165">
        <f t="shared" si="37"/>
        <v>1</v>
      </c>
      <c r="DO20" s="100">
        <f t="shared" si="35"/>
        <v>3</v>
      </c>
      <c r="DP20" s="100">
        <f t="shared" si="35"/>
        <v>0</v>
      </c>
      <c r="DQ20" s="100">
        <f t="shared" si="35"/>
        <v>1</v>
      </c>
      <c r="DR20" s="100">
        <f t="shared" si="35"/>
        <v>1</v>
      </c>
      <c r="DS20" s="100">
        <f t="shared" si="35"/>
        <v>1</v>
      </c>
      <c r="DT20" s="100">
        <f t="shared" si="35"/>
        <v>0</v>
      </c>
      <c r="DU20" s="100">
        <f t="shared" si="35"/>
        <v>2</v>
      </c>
      <c r="DV20" s="100">
        <f t="shared" si="35"/>
        <v>2</v>
      </c>
      <c r="DW20" s="100">
        <f t="shared" si="35"/>
        <v>3</v>
      </c>
      <c r="DX20" s="100">
        <f t="shared" si="35"/>
        <v>0</v>
      </c>
      <c r="DY20" s="200">
        <f t="shared" si="35"/>
        <v>0</v>
      </c>
    </row>
    <row r="21" spans="1:129" x14ac:dyDescent="0.25">
      <c r="A21" s="19" t="s">
        <v>46</v>
      </c>
      <c r="B21" s="165">
        <v>0</v>
      </c>
      <c r="C21" s="100">
        <v>0</v>
      </c>
      <c r="D21" s="100">
        <v>0</v>
      </c>
      <c r="E21" s="100">
        <v>0</v>
      </c>
      <c r="F21" s="100">
        <v>0</v>
      </c>
      <c r="G21" s="100">
        <v>0</v>
      </c>
      <c r="H21" s="100">
        <v>0</v>
      </c>
      <c r="I21" s="100">
        <v>0</v>
      </c>
      <c r="J21" s="100">
        <v>0</v>
      </c>
      <c r="K21" s="100">
        <v>0</v>
      </c>
      <c r="L21" s="165">
        <v>0</v>
      </c>
      <c r="M21" s="100">
        <v>0</v>
      </c>
      <c r="N21" s="100">
        <v>0</v>
      </c>
      <c r="O21" s="100">
        <v>0</v>
      </c>
      <c r="P21" s="100">
        <v>0</v>
      </c>
      <c r="Q21" s="100">
        <v>0</v>
      </c>
      <c r="R21" s="100">
        <v>0</v>
      </c>
      <c r="S21" s="100">
        <v>0</v>
      </c>
      <c r="T21" s="100">
        <v>0</v>
      </c>
      <c r="U21" s="100">
        <v>0</v>
      </c>
      <c r="V21" s="100">
        <v>0</v>
      </c>
      <c r="W21" s="100">
        <v>0</v>
      </c>
      <c r="X21" s="165">
        <f t="shared" si="20"/>
        <v>0</v>
      </c>
      <c r="Y21" s="100">
        <f t="shared" si="20"/>
        <v>0</v>
      </c>
      <c r="Z21" s="100">
        <f t="shared" si="20"/>
        <v>0</v>
      </c>
      <c r="AA21" s="100">
        <f t="shared" si="20"/>
        <v>0</v>
      </c>
      <c r="AB21" s="100">
        <f t="shared" si="20"/>
        <v>0</v>
      </c>
      <c r="AC21" s="100">
        <f t="shared" si="20"/>
        <v>0</v>
      </c>
      <c r="AD21" s="100">
        <f t="shared" si="20"/>
        <v>0</v>
      </c>
      <c r="AE21" s="100">
        <f t="shared" si="20"/>
        <v>0</v>
      </c>
      <c r="AF21" s="100">
        <f t="shared" si="20"/>
        <v>0</v>
      </c>
      <c r="AG21" s="200">
        <f t="shared" si="20"/>
        <v>0</v>
      </c>
      <c r="AH21" s="165">
        <v>0</v>
      </c>
      <c r="AI21" s="100">
        <v>0</v>
      </c>
      <c r="AJ21" s="100">
        <v>0</v>
      </c>
      <c r="AK21" s="100">
        <v>0</v>
      </c>
      <c r="AL21" s="100">
        <v>0</v>
      </c>
      <c r="AM21" s="100">
        <v>0</v>
      </c>
      <c r="AN21" s="100">
        <v>0</v>
      </c>
      <c r="AO21" s="100">
        <v>0</v>
      </c>
      <c r="AP21" s="100">
        <v>0</v>
      </c>
      <c r="AQ21" s="100">
        <v>0</v>
      </c>
      <c r="AR21" s="100">
        <v>0</v>
      </c>
      <c r="AS21" s="200">
        <v>0</v>
      </c>
      <c r="AT21" s="165">
        <f t="shared" si="36"/>
        <v>0</v>
      </c>
      <c r="AU21" s="100">
        <f t="shared" si="21"/>
        <v>0</v>
      </c>
      <c r="AV21" s="100">
        <f t="shared" si="21"/>
        <v>0</v>
      </c>
      <c r="AW21" s="100">
        <f t="shared" si="21"/>
        <v>0</v>
      </c>
      <c r="AX21" s="100">
        <f t="shared" si="21"/>
        <v>0</v>
      </c>
      <c r="AY21" s="100">
        <f t="shared" si="21"/>
        <v>0</v>
      </c>
      <c r="AZ21" s="100">
        <f t="shared" si="21"/>
        <v>0</v>
      </c>
      <c r="BA21" s="100">
        <f t="shared" si="21"/>
        <v>0</v>
      </c>
      <c r="BB21" s="100">
        <f t="shared" si="21"/>
        <v>0</v>
      </c>
      <c r="BC21" s="100">
        <f t="shared" si="21"/>
        <v>0</v>
      </c>
      <c r="BD21" s="100">
        <f t="shared" si="21"/>
        <v>0</v>
      </c>
      <c r="BE21" s="200">
        <f t="shared" si="21"/>
        <v>0</v>
      </c>
      <c r="BF21" s="165">
        <v>0</v>
      </c>
      <c r="BG21" s="100">
        <v>0</v>
      </c>
      <c r="BH21" s="100">
        <v>0</v>
      </c>
      <c r="BI21" s="100">
        <v>0</v>
      </c>
      <c r="BJ21" s="100">
        <v>0</v>
      </c>
      <c r="BK21" s="100">
        <v>0</v>
      </c>
      <c r="BL21" s="100">
        <v>0</v>
      </c>
      <c r="BM21" s="100">
        <v>0</v>
      </c>
      <c r="BN21" s="100">
        <v>0</v>
      </c>
      <c r="BO21" s="100">
        <v>0</v>
      </c>
      <c r="BP21" s="100">
        <v>0</v>
      </c>
      <c r="BQ21" s="200">
        <v>0</v>
      </c>
      <c r="BR21" s="165">
        <f t="shared" si="22"/>
        <v>0</v>
      </c>
      <c r="BS21" s="100">
        <f t="shared" si="23"/>
        <v>0</v>
      </c>
      <c r="BT21" s="100">
        <f t="shared" si="24"/>
        <v>0</v>
      </c>
      <c r="BU21" s="100">
        <f t="shared" si="25"/>
        <v>0</v>
      </c>
      <c r="BV21" s="100">
        <f t="shared" si="26"/>
        <v>0</v>
      </c>
      <c r="BW21" s="100">
        <f t="shared" si="27"/>
        <v>0</v>
      </c>
      <c r="BX21" s="100">
        <f t="shared" si="28"/>
        <v>0</v>
      </c>
      <c r="BY21" s="100">
        <f t="shared" si="29"/>
        <v>0</v>
      </c>
      <c r="BZ21" s="100">
        <f t="shared" si="30"/>
        <v>0</v>
      </c>
      <c r="CA21" s="100">
        <f t="shared" si="31"/>
        <v>0</v>
      </c>
      <c r="CB21" s="100">
        <f t="shared" si="32"/>
        <v>0</v>
      </c>
      <c r="CC21" s="200">
        <f t="shared" si="33"/>
        <v>0</v>
      </c>
      <c r="CD21" s="165">
        <v>0</v>
      </c>
      <c r="CE21" s="100">
        <v>0</v>
      </c>
      <c r="CF21" s="100">
        <v>0</v>
      </c>
      <c r="CG21" s="100">
        <v>0</v>
      </c>
      <c r="CH21" s="100">
        <v>0</v>
      </c>
      <c r="CI21" s="100">
        <v>0</v>
      </c>
      <c r="CJ21" s="100">
        <v>0</v>
      </c>
      <c r="CK21" s="100">
        <v>0</v>
      </c>
      <c r="CL21" s="100">
        <v>0</v>
      </c>
      <c r="CM21" s="100">
        <v>0</v>
      </c>
      <c r="CN21" s="100">
        <v>0</v>
      </c>
      <c r="CO21" s="200">
        <v>0</v>
      </c>
      <c r="CP21" s="165">
        <f t="shared" si="34"/>
        <v>0</v>
      </c>
      <c r="CQ21" s="100">
        <f t="shared" si="34"/>
        <v>0</v>
      </c>
      <c r="CR21" s="100">
        <f t="shared" si="34"/>
        <v>0</v>
      </c>
      <c r="CS21" s="100">
        <f t="shared" si="34"/>
        <v>0</v>
      </c>
      <c r="CT21" s="100">
        <f t="shared" si="34"/>
        <v>0</v>
      </c>
      <c r="CU21" s="100">
        <f t="shared" si="34"/>
        <v>0</v>
      </c>
      <c r="CV21" s="100">
        <f t="shared" si="34"/>
        <v>0</v>
      </c>
      <c r="CW21" s="100">
        <f t="shared" si="34"/>
        <v>0</v>
      </c>
      <c r="CX21" s="100">
        <f t="shared" si="34"/>
        <v>0</v>
      </c>
      <c r="CY21" s="100">
        <f t="shared" si="34"/>
        <v>0</v>
      </c>
      <c r="CZ21" s="100">
        <f t="shared" si="34"/>
        <v>0</v>
      </c>
      <c r="DA21" s="200">
        <f t="shared" si="34"/>
        <v>0</v>
      </c>
      <c r="DB21" s="165">
        <v>0</v>
      </c>
      <c r="DC21" s="100">
        <v>0</v>
      </c>
      <c r="DD21" s="100">
        <v>0</v>
      </c>
      <c r="DE21" s="100">
        <v>0</v>
      </c>
      <c r="DF21" s="100">
        <v>0</v>
      </c>
      <c r="DG21" s="100">
        <v>0</v>
      </c>
      <c r="DH21" s="100">
        <v>0</v>
      </c>
      <c r="DI21" s="100">
        <v>0</v>
      </c>
      <c r="DJ21" s="100">
        <v>0</v>
      </c>
      <c r="DK21" s="100">
        <v>0</v>
      </c>
      <c r="DL21" s="100">
        <v>0</v>
      </c>
      <c r="DM21" s="200"/>
      <c r="DN21" s="165">
        <f t="shared" si="37"/>
        <v>0</v>
      </c>
      <c r="DO21" s="100">
        <f t="shared" si="35"/>
        <v>0</v>
      </c>
      <c r="DP21" s="100">
        <f t="shared" si="35"/>
        <v>0</v>
      </c>
      <c r="DQ21" s="100">
        <f t="shared" si="35"/>
        <v>0</v>
      </c>
      <c r="DR21" s="100">
        <f t="shared" si="35"/>
        <v>0</v>
      </c>
      <c r="DS21" s="100">
        <f t="shared" si="35"/>
        <v>0</v>
      </c>
      <c r="DT21" s="100">
        <f t="shared" si="35"/>
        <v>0</v>
      </c>
      <c r="DU21" s="100">
        <f t="shared" si="35"/>
        <v>0</v>
      </c>
      <c r="DV21" s="100">
        <f t="shared" si="35"/>
        <v>0</v>
      </c>
      <c r="DW21" s="100">
        <f t="shared" si="35"/>
        <v>0</v>
      </c>
      <c r="DX21" s="100">
        <f t="shared" si="35"/>
        <v>0</v>
      </c>
      <c r="DY21" s="200">
        <f t="shared" si="35"/>
        <v>0</v>
      </c>
    </row>
    <row r="22" spans="1:129" x14ac:dyDescent="0.25">
      <c r="A22" s="19" t="s">
        <v>39</v>
      </c>
      <c r="B22" s="165">
        <f>SUM(B17:B21)</f>
        <v>712</v>
      </c>
      <c r="C22" s="100">
        <f t="shared" ref="C22:K22" si="38">SUM(C17:C21)</f>
        <v>366</v>
      </c>
      <c r="D22" s="100">
        <f t="shared" si="38"/>
        <v>946</v>
      </c>
      <c r="E22" s="100">
        <f t="shared" si="38"/>
        <v>485</v>
      </c>
      <c r="F22" s="100">
        <f t="shared" si="38"/>
        <v>820</v>
      </c>
      <c r="G22" s="100">
        <f t="shared" si="38"/>
        <v>788</v>
      </c>
      <c r="H22" s="100">
        <f t="shared" si="38"/>
        <v>426</v>
      </c>
      <c r="I22" s="100">
        <f t="shared" si="38"/>
        <v>692</v>
      </c>
      <c r="J22" s="100">
        <f t="shared" si="38"/>
        <v>345</v>
      </c>
      <c r="K22" s="100">
        <f t="shared" si="38"/>
        <v>650</v>
      </c>
      <c r="L22" s="165">
        <f>SUM(L17:L21)</f>
        <v>502</v>
      </c>
      <c r="M22" s="100">
        <f t="shared" ref="M22:W22" si="39">SUM(M17:M21)</f>
        <v>216</v>
      </c>
      <c r="N22" s="100">
        <f t="shared" si="39"/>
        <v>541</v>
      </c>
      <c r="O22" s="100">
        <f t="shared" si="39"/>
        <v>309</v>
      </c>
      <c r="P22" s="100">
        <f t="shared" si="39"/>
        <v>948</v>
      </c>
      <c r="Q22" s="100">
        <f t="shared" si="39"/>
        <v>651</v>
      </c>
      <c r="R22" s="100">
        <f t="shared" si="39"/>
        <v>1013</v>
      </c>
      <c r="S22" s="100">
        <f t="shared" si="39"/>
        <v>1076</v>
      </c>
      <c r="T22" s="100">
        <f t="shared" si="39"/>
        <v>644</v>
      </c>
      <c r="U22" s="100">
        <f t="shared" si="39"/>
        <v>1013</v>
      </c>
      <c r="V22" s="100">
        <f t="shared" si="39"/>
        <v>672</v>
      </c>
      <c r="W22" s="100">
        <f t="shared" si="39"/>
        <v>937</v>
      </c>
      <c r="X22" s="165">
        <f t="shared" ref="X22" si="40">SUM(X17:X21)</f>
        <v>171</v>
      </c>
      <c r="Y22" s="100">
        <f t="shared" ref="Y22" si="41">SUM(Y17:Y21)</f>
        <v>57</v>
      </c>
      <c r="Z22" s="100">
        <f t="shared" ref="Z22" si="42">SUM(Z17:Z21)</f>
        <v>-2</v>
      </c>
      <c r="AA22" s="100">
        <f t="shared" ref="AA22" si="43">SUM(AA17:AA21)</f>
        <v>-166</v>
      </c>
      <c r="AB22" s="100">
        <f t="shared" ref="AB22" si="44">SUM(AB17:AB21)</f>
        <v>-193</v>
      </c>
      <c r="AC22" s="100">
        <f t="shared" ref="AC22" si="45">SUM(AC17:AC21)</f>
        <v>-288</v>
      </c>
      <c r="AD22" s="100">
        <f t="shared" ref="AD22" si="46">SUM(AD17:AD21)</f>
        <v>-218</v>
      </c>
      <c r="AE22" s="100">
        <f t="shared" ref="AE22" si="47">SUM(AE17:AE21)</f>
        <v>-321</v>
      </c>
      <c r="AF22" s="100">
        <f t="shared" ref="AF22" si="48">SUM(AF17:AF21)</f>
        <v>-327</v>
      </c>
      <c r="AG22" s="200">
        <f t="shared" ref="AG22" si="49">SUM(AG17:AG21)</f>
        <v>-287</v>
      </c>
      <c r="AH22" s="165">
        <f>SUM(AH17:AH21)</f>
        <v>998</v>
      </c>
      <c r="AI22" s="100">
        <f t="shared" ref="AI22:AS22" si="50">SUM(AI17:AI21)</f>
        <v>691</v>
      </c>
      <c r="AJ22" s="100">
        <f t="shared" si="50"/>
        <v>1024</v>
      </c>
      <c r="AK22" s="100">
        <f t="shared" si="50"/>
        <v>769</v>
      </c>
      <c r="AL22" s="100">
        <f t="shared" si="50"/>
        <v>0</v>
      </c>
      <c r="AM22" s="100">
        <f t="shared" si="50"/>
        <v>0</v>
      </c>
      <c r="AN22" s="100">
        <f t="shared" si="50"/>
        <v>0</v>
      </c>
      <c r="AO22" s="100">
        <f t="shared" si="50"/>
        <v>0</v>
      </c>
      <c r="AP22" s="100">
        <f t="shared" si="50"/>
        <v>0</v>
      </c>
      <c r="AQ22" s="100">
        <f t="shared" si="50"/>
        <v>0</v>
      </c>
      <c r="AR22" s="100">
        <f t="shared" si="50"/>
        <v>0</v>
      </c>
      <c r="AS22" s="200">
        <f t="shared" si="50"/>
        <v>0</v>
      </c>
      <c r="AT22" s="165">
        <f>SUM(AT17:AT21)</f>
        <v>-496</v>
      </c>
      <c r="AU22" s="100">
        <f t="shared" ref="AU22" si="51">SUM(AU17:AU21)</f>
        <v>-475</v>
      </c>
      <c r="AV22" s="100">
        <f t="shared" ref="AV22" si="52">SUM(AV17:AV21)</f>
        <v>-483</v>
      </c>
      <c r="AW22" s="100">
        <f t="shared" ref="AW22" si="53">SUM(AW17:AW21)</f>
        <v>-460</v>
      </c>
      <c r="AX22" s="100">
        <f t="shared" ref="AX22" si="54">SUM(AX17:AX21)</f>
        <v>948</v>
      </c>
      <c r="AY22" s="100">
        <f t="shared" ref="AY22" si="55">SUM(AY17:AY21)</f>
        <v>651</v>
      </c>
      <c r="AZ22" s="100">
        <f t="shared" ref="AZ22" si="56">SUM(AZ17:AZ21)</f>
        <v>1013</v>
      </c>
      <c r="BA22" s="100">
        <f t="shared" ref="BA22" si="57">SUM(BA17:BA21)</f>
        <v>1076</v>
      </c>
      <c r="BB22" s="100">
        <f t="shared" ref="BB22" si="58">SUM(BB17:BB21)</f>
        <v>644</v>
      </c>
      <c r="BC22" s="100">
        <f t="shared" ref="BC22" si="59">SUM(BC17:BC21)</f>
        <v>1013</v>
      </c>
      <c r="BD22" s="100">
        <f t="shared" ref="BD22" si="60">SUM(BD17:BD21)</f>
        <v>672</v>
      </c>
      <c r="BE22" s="200">
        <f t="shared" ref="BE22" si="61">SUM(BE17:BE21)</f>
        <v>937</v>
      </c>
      <c r="BF22" s="165">
        <f>SUM(BF17:BF21)</f>
        <v>0</v>
      </c>
      <c r="BG22" s="100">
        <f t="shared" ref="BG22:BQ22" si="62">SUM(BG17:BG21)</f>
        <v>0</v>
      </c>
      <c r="BH22" s="100">
        <f t="shared" si="62"/>
        <v>0</v>
      </c>
      <c r="BI22" s="100">
        <f t="shared" si="62"/>
        <v>0</v>
      </c>
      <c r="BJ22" s="100">
        <f t="shared" si="62"/>
        <v>0</v>
      </c>
      <c r="BK22" s="100">
        <f t="shared" si="62"/>
        <v>0</v>
      </c>
      <c r="BL22" s="100">
        <f t="shared" si="62"/>
        <v>0</v>
      </c>
      <c r="BM22" s="100">
        <f t="shared" si="62"/>
        <v>0</v>
      </c>
      <c r="BN22" s="100">
        <f t="shared" si="62"/>
        <v>0</v>
      </c>
      <c r="BO22" s="100">
        <f t="shared" si="62"/>
        <v>0</v>
      </c>
      <c r="BP22" s="100">
        <f t="shared" si="62"/>
        <v>0</v>
      </c>
      <c r="BQ22" s="200">
        <f t="shared" si="62"/>
        <v>0</v>
      </c>
      <c r="BR22" s="165">
        <f>SUM(BR17:BR21)</f>
        <v>998</v>
      </c>
      <c r="BS22" s="100">
        <f t="shared" ref="BS22:CC22" si="63">SUM(BS17:BS21)</f>
        <v>691</v>
      </c>
      <c r="BT22" s="100">
        <f t="shared" si="63"/>
        <v>1024</v>
      </c>
      <c r="BU22" s="100">
        <f t="shared" si="63"/>
        <v>769</v>
      </c>
      <c r="BV22" s="100">
        <f t="shared" si="63"/>
        <v>0</v>
      </c>
      <c r="BW22" s="100">
        <f t="shared" si="63"/>
        <v>0</v>
      </c>
      <c r="BX22" s="100">
        <f t="shared" si="63"/>
        <v>0</v>
      </c>
      <c r="BY22" s="100">
        <f t="shared" si="63"/>
        <v>0</v>
      </c>
      <c r="BZ22" s="100">
        <f t="shared" si="63"/>
        <v>0</v>
      </c>
      <c r="CA22" s="100">
        <f t="shared" si="63"/>
        <v>0</v>
      </c>
      <c r="CB22" s="100">
        <f t="shared" si="63"/>
        <v>0</v>
      </c>
      <c r="CC22" s="200">
        <f t="shared" si="63"/>
        <v>0</v>
      </c>
      <c r="CD22" s="165">
        <f>SUM(CD17:CD21)</f>
        <v>0</v>
      </c>
      <c r="CE22" s="100">
        <f t="shared" ref="CE22:CM22" si="64">SUM(CE17:CE21)</f>
        <v>0</v>
      </c>
      <c r="CF22" s="100">
        <f t="shared" si="64"/>
        <v>0</v>
      </c>
      <c r="CG22" s="100">
        <f t="shared" si="64"/>
        <v>0</v>
      </c>
      <c r="CH22" s="100">
        <f t="shared" si="64"/>
        <v>0</v>
      </c>
      <c r="CI22" s="100">
        <f t="shared" si="64"/>
        <v>0</v>
      </c>
      <c r="CJ22" s="100">
        <f t="shared" si="64"/>
        <v>0</v>
      </c>
      <c r="CK22" s="100">
        <f t="shared" si="64"/>
        <v>0</v>
      </c>
      <c r="CL22" s="100">
        <f t="shared" si="64"/>
        <v>0</v>
      </c>
      <c r="CM22" s="100">
        <f t="shared" si="64"/>
        <v>0</v>
      </c>
      <c r="CN22" s="100">
        <f>SUM(CN17:CN21)</f>
        <v>537</v>
      </c>
      <c r="CO22" s="200">
        <v>352</v>
      </c>
      <c r="CP22" s="165">
        <f t="shared" si="34"/>
        <v>0</v>
      </c>
      <c r="CQ22" s="100">
        <f t="shared" si="34"/>
        <v>0</v>
      </c>
      <c r="CR22" s="100">
        <f t="shared" si="34"/>
        <v>0</v>
      </c>
      <c r="CS22" s="100">
        <f t="shared" si="34"/>
        <v>0</v>
      </c>
      <c r="CT22" s="100">
        <f t="shared" si="34"/>
        <v>0</v>
      </c>
      <c r="CU22" s="100">
        <f t="shared" si="34"/>
        <v>0</v>
      </c>
      <c r="CV22" s="100">
        <f t="shared" si="34"/>
        <v>0</v>
      </c>
      <c r="CW22" s="100">
        <f t="shared" si="34"/>
        <v>0</v>
      </c>
      <c r="CX22" s="100">
        <f t="shared" si="34"/>
        <v>0</v>
      </c>
      <c r="CY22" s="100">
        <f t="shared" si="34"/>
        <v>0</v>
      </c>
      <c r="CZ22" s="100">
        <f t="shared" si="34"/>
        <v>537</v>
      </c>
      <c r="DA22" s="200">
        <f t="shared" si="34"/>
        <v>352</v>
      </c>
      <c r="DB22" s="165">
        <f>SUM(DB17:DB21)</f>
        <v>355</v>
      </c>
      <c r="DC22" s="100">
        <f>SUM(DC17:DC21)</f>
        <v>424</v>
      </c>
      <c r="DD22" s="100">
        <f t="shared" ref="DD22:DM22" si="65">SUM(DD17:DD21)</f>
        <v>369</v>
      </c>
      <c r="DE22" s="100">
        <f t="shared" si="65"/>
        <v>352</v>
      </c>
      <c r="DF22" s="100">
        <f t="shared" si="65"/>
        <v>278</v>
      </c>
      <c r="DG22" s="100">
        <v>245</v>
      </c>
      <c r="DH22" s="100">
        <f t="shared" si="65"/>
        <v>242</v>
      </c>
      <c r="DI22" s="100">
        <f t="shared" si="65"/>
        <v>251</v>
      </c>
      <c r="DJ22" s="100">
        <f t="shared" si="65"/>
        <v>251</v>
      </c>
      <c r="DK22" s="100">
        <f t="shared" si="65"/>
        <v>264</v>
      </c>
      <c r="DL22" s="100">
        <f t="shared" si="65"/>
        <v>245</v>
      </c>
      <c r="DM22" s="200">
        <f t="shared" si="65"/>
        <v>0</v>
      </c>
      <c r="DN22" s="165">
        <f>SUM(DN17:DN21)</f>
        <v>355</v>
      </c>
      <c r="DO22" s="100">
        <f t="shared" ref="DO22:DY22" si="66">SUM(DO17:DO21)</f>
        <v>424</v>
      </c>
      <c r="DP22" s="100">
        <f t="shared" si="66"/>
        <v>369</v>
      </c>
      <c r="DQ22" s="100">
        <f t="shared" si="66"/>
        <v>352</v>
      </c>
      <c r="DR22" s="100">
        <f t="shared" si="66"/>
        <v>278</v>
      </c>
      <c r="DS22" s="100">
        <f t="shared" si="66"/>
        <v>245</v>
      </c>
      <c r="DT22" s="100">
        <f t="shared" si="66"/>
        <v>242</v>
      </c>
      <c r="DU22" s="100">
        <f t="shared" si="66"/>
        <v>251</v>
      </c>
      <c r="DV22" s="100">
        <f t="shared" si="66"/>
        <v>251</v>
      </c>
      <c r="DW22" s="100">
        <f t="shared" si="66"/>
        <v>264</v>
      </c>
      <c r="DX22" s="100">
        <f t="shared" si="66"/>
        <v>-292</v>
      </c>
      <c r="DY22" s="200">
        <f t="shared" si="66"/>
        <v>-352</v>
      </c>
    </row>
    <row r="23" spans="1:129" x14ac:dyDescent="0.25">
      <c r="A23" s="25" t="s">
        <v>20</v>
      </c>
      <c r="B23" s="165"/>
      <c r="C23" s="100"/>
      <c r="D23" s="100"/>
      <c r="E23" s="100"/>
      <c r="F23" s="100"/>
      <c r="G23" s="100"/>
      <c r="H23" s="100"/>
      <c r="I23" s="100"/>
      <c r="J23" s="100"/>
      <c r="K23" s="100"/>
      <c r="L23" s="165"/>
      <c r="M23" s="100"/>
      <c r="N23" s="100"/>
      <c r="O23" s="100"/>
      <c r="P23" s="100"/>
      <c r="Q23" s="100"/>
      <c r="R23" s="100"/>
      <c r="S23" s="100"/>
      <c r="T23" s="100"/>
      <c r="U23" s="100"/>
      <c r="V23" s="100"/>
      <c r="W23" s="100"/>
      <c r="X23" s="165"/>
      <c r="Y23" s="100"/>
      <c r="Z23" s="100"/>
      <c r="AA23" s="100"/>
      <c r="AB23" s="100"/>
      <c r="AC23" s="100"/>
      <c r="AD23" s="100"/>
      <c r="AE23" s="100"/>
      <c r="AF23" s="100"/>
      <c r="AG23" s="200"/>
      <c r="AH23" s="165"/>
      <c r="AI23" s="100"/>
      <c r="AJ23" s="100"/>
      <c r="AK23" s="100"/>
      <c r="AL23" s="100"/>
      <c r="AM23" s="100"/>
      <c r="AN23" s="100"/>
      <c r="AO23" s="100"/>
      <c r="AP23" s="100"/>
      <c r="AQ23" s="100"/>
      <c r="AR23" s="100"/>
      <c r="AS23" s="200"/>
      <c r="AT23" s="165"/>
      <c r="AU23" s="100"/>
      <c r="AV23" s="100"/>
      <c r="AW23" s="100"/>
      <c r="AX23" s="100"/>
      <c r="AY23" s="100"/>
      <c r="AZ23" s="100"/>
      <c r="BA23" s="100"/>
      <c r="BB23" s="100"/>
      <c r="BC23" s="100"/>
      <c r="BD23" s="100"/>
      <c r="BE23" s="200"/>
      <c r="BF23" s="165"/>
      <c r="BG23" s="100"/>
      <c r="BH23" s="100"/>
      <c r="BI23" s="100"/>
      <c r="BJ23" s="100"/>
      <c r="BK23" s="100"/>
      <c r="BL23" s="100"/>
      <c r="BM23" s="100"/>
      <c r="BN23" s="100"/>
      <c r="BO23" s="100"/>
      <c r="BP23" s="100"/>
      <c r="BQ23" s="200"/>
      <c r="BR23" s="165"/>
      <c r="BS23" s="100"/>
      <c r="BT23" s="100"/>
      <c r="BU23" s="100"/>
      <c r="BV23" s="100"/>
      <c r="BW23" s="100"/>
      <c r="BX23" s="100"/>
      <c r="BY23" s="100"/>
      <c r="BZ23" s="100"/>
      <c r="CA23" s="100"/>
      <c r="CB23" s="100"/>
      <c r="CC23" s="200"/>
      <c r="CD23" s="165"/>
      <c r="CE23" s="100"/>
      <c r="CF23" s="100"/>
      <c r="CG23" s="100"/>
      <c r="CH23" s="100"/>
      <c r="CI23" s="100"/>
      <c r="CJ23" s="100"/>
      <c r="CK23" s="100"/>
      <c r="CL23" s="100"/>
      <c r="CM23" s="100"/>
      <c r="CN23" s="100"/>
      <c r="CO23" s="200"/>
      <c r="CP23" s="165"/>
      <c r="CQ23" s="100"/>
      <c r="CR23" s="100"/>
      <c r="CS23" s="100"/>
      <c r="CT23" s="100"/>
      <c r="CU23" s="100"/>
      <c r="CV23" s="100"/>
      <c r="CW23" s="100"/>
      <c r="CX23" s="100"/>
      <c r="CY23" s="100"/>
      <c r="CZ23" s="100"/>
      <c r="DA23" s="200"/>
      <c r="DB23" s="165"/>
      <c r="DC23" s="100"/>
      <c r="DD23" s="100"/>
      <c r="DE23" s="100"/>
      <c r="DF23" s="100"/>
      <c r="DG23" s="100"/>
      <c r="DH23" s="100"/>
      <c r="DI23" s="100"/>
      <c r="DJ23" s="100"/>
      <c r="DK23" s="100"/>
      <c r="DL23" s="100"/>
      <c r="DM23" s="200"/>
      <c r="DN23" s="165"/>
      <c r="DO23" s="100"/>
      <c r="DP23" s="100"/>
      <c r="DQ23" s="100"/>
      <c r="DR23" s="100"/>
      <c r="DS23" s="100"/>
      <c r="DT23" s="100"/>
      <c r="DU23" s="100"/>
      <c r="DV23" s="100"/>
      <c r="DW23" s="100"/>
      <c r="DX23" s="100"/>
      <c r="DY23" s="200"/>
    </row>
    <row r="24" spans="1:129" x14ac:dyDescent="0.25">
      <c r="A24" s="19" t="s">
        <v>34</v>
      </c>
      <c r="B24" s="165">
        <v>564</v>
      </c>
      <c r="C24" s="100">
        <v>14</v>
      </c>
      <c r="D24" s="100">
        <v>490</v>
      </c>
      <c r="E24" s="100">
        <v>26</v>
      </c>
      <c r="F24" s="100">
        <v>408</v>
      </c>
      <c r="G24" s="100">
        <v>399</v>
      </c>
      <c r="H24" s="100">
        <v>52</v>
      </c>
      <c r="I24" s="100">
        <v>359</v>
      </c>
      <c r="J24" s="100">
        <v>56</v>
      </c>
      <c r="K24" s="100">
        <v>391</v>
      </c>
      <c r="L24" s="165">
        <v>318</v>
      </c>
      <c r="M24" s="100">
        <v>126</v>
      </c>
      <c r="N24" s="100">
        <v>411</v>
      </c>
      <c r="O24" s="100">
        <v>12</v>
      </c>
      <c r="P24" s="100">
        <v>397</v>
      </c>
      <c r="Q24" s="100">
        <v>44</v>
      </c>
      <c r="R24" s="100">
        <v>386</v>
      </c>
      <c r="S24" s="100">
        <v>399</v>
      </c>
      <c r="T24" s="100">
        <v>52</v>
      </c>
      <c r="U24" s="100">
        <v>389</v>
      </c>
      <c r="V24" s="100">
        <v>63</v>
      </c>
      <c r="W24" s="100">
        <v>361</v>
      </c>
      <c r="X24" s="165">
        <f t="shared" ref="X24:AG28" si="67">B24-N24</f>
        <v>153</v>
      </c>
      <c r="Y24" s="100">
        <f t="shared" si="67"/>
        <v>2</v>
      </c>
      <c r="Z24" s="100">
        <f t="shared" si="67"/>
        <v>93</v>
      </c>
      <c r="AA24" s="100">
        <f t="shared" si="67"/>
        <v>-18</v>
      </c>
      <c r="AB24" s="100">
        <f t="shared" si="67"/>
        <v>22</v>
      </c>
      <c r="AC24" s="100">
        <f t="shared" si="67"/>
        <v>0</v>
      </c>
      <c r="AD24" s="100">
        <f t="shared" si="67"/>
        <v>0</v>
      </c>
      <c r="AE24" s="100">
        <f t="shared" si="67"/>
        <v>-30</v>
      </c>
      <c r="AF24" s="100">
        <f t="shared" si="67"/>
        <v>-7</v>
      </c>
      <c r="AG24" s="200">
        <f t="shared" si="67"/>
        <v>30</v>
      </c>
      <c r="AH24" s="165">
        <v>411</v>
      </c>
      <c r="AI24" s="100">
        <v>238</v>
      </c>
      <c r="AJ24" s="100">
        <v>645</v>
      </c>
      <c r="AK24" s="100">
        <v>450</v>
      </c>
      <c r="AL24" s="100">
        <v>0</v>
      </c>
      <c r="AM24" s="100">
        <v>0</v>
      </c>
      <c r="AN24" s="100">
        <v>0</v>
      </c>
      <c r="AO24" s="100">
        <v>0</v>
      </c>
      <c r="AP24" s="100">
        <v>0</v>
      </c>
      <c r="AQ24" s="100">
        <v>0</v>
      </c>
      <c r="AR24" s="100">
        <v>0</v>
      </c>
      <c r="AS24" s="100">
        <v>0</v>
      </c>
      <c r="AT24" s="165">
        <f>L24-AH24</f>
        <v>-93</v>
      </c>
      <c r="AU24" s="100">
        <f t="shared" ref="AU24:BE28" si="68">M24-AI24</f>
        <v>-112</v>
      </c>
      <c r="AV24" s="100">
        <f t="shared" si="68"/>
        <v>-234</v>
      </c>
      <c r="AW24" s="100">
        <f t="shared" si="68"/>
        <v>-438</v>
      </c>
      <c r="AX24" s="100">
        <f t="shared" si="68"/>
        <v>397</v>
      </c>
      <c r="AY24" s="100">
        <f t="shared" si="68"/>
        <v>44</v>
      </c>
      <c r="AZ24" s="100">
        <f t="shared" si="68"/>
        <v>386</v>
      </c>
      <c r="BA24" s="100">
        <f t="shared" si="68"/>
        <v>399</v>
      </c>
      <c r="BB24" s="100">
        <f t="shared" si="68"/>
        <v>52</v>
      </c>
      <c r="BC24" s="100">
        <f t="shared" si="68"/>
        <v>389</v>
      </c>
      <c r="BD24" s="100">
        <f t="shared" si="68"/>
        <v>63</v>
      </c>
      <c r="BE24" s="200">
        <f t="shared" si="68"/>
        <v>361</v>
      </c>
      <c r="BF24" s="165">
        <v>0</v>
      </c>
      <c r="BG24" s="100">
        <v>0</v>
      </c>
      <c r="BH24" s="100">
        <v>0</v>
      </c>
      <c r="BI24" s="100">
        <v>0</v>
      </c>
      <c r="BJ24" s="100">
        <v>0</v>
      </c>
      <c r="BK24" s="100">
        <v>0</v>
      </c>
      <c r="BL24" s="100">
        <v>0</v>
      </c>
      <c r="BM24" s="100">
        <v>0</v>
      </c>
      <c r="BN24" s="100">
        <v>0</v>
      </c>
      <c r="BO24" s="100">
        <v>0</v>
      </c>
      <c r="BP24" s="100">
        <v>0</v>
      </c>
      <c r="BQ24" s="200">
        <v>0</v>
      </c>
      <c r="BR24" s="165">
        <f t="shared" ref="BR24:BR28" si="69">AH24-BF24</f>
        <v>411</v>
      </c>
      <c r="BS24" s="100">
        <f t="shared" ref="BS24:BS28" si="70">AI24-BG24</f>
        <v>238</v>
      </c>
      <c r="BT24" s="100">
        <f t="shared" ref="BT24:BT28" si="71">AJ24-BH24</f>
        <v>645</v>
      </c>
      <c r="BU24" s="100">
        <f t="shared" ref="BU24:BU28" si="72">AK24-BI24</f>
        <v>450</v>
      </c>
      <c r="BV24" s="100">
        <f t="shared" ref="BV24:BV28" si="73">AL24-BJ24</f>
        <v>0</v>
      </c>
      <c r="BW24" s="100">
        <f t="shared" ref="BW24:BW28" si="74">AM24-BK24</f>
        <v>0</v>
      </c>
      <c r="BX24" s="100">
        <f t="shared" ref="BX24:BX28" si="75">AN24-BL24</f>
        <v>0</v>
      </c>
      <c r="BY24" s="100">
        <f t="shared" ref="BY24:BY28" si="76">AO24-BM24</f>
        <v>0</v>
      </c>
      <c r="BZ24" s="100">
        <f t="shared" ref="BZ24:BZ28" si="77">AP24-BN24</f>
        <v>0</v>
      </c>
      <c r="CA24" s="100">
        <f t="shared" ref="CA24:CA28" si="78">AQ24-BO24</f>
        <v>0</v>
      </c>
      <c r="CB24" s="100">
        <f t="shared" ref="CB24:CB28" si="79">AR24-BP24</f>
        <v>0</v>
      </c>
      <c r="CC24" s="200">
        <f t="shared" ref="CC24:CC28" si="80">AS24-BQ24</f>
        <v>0</v>
      </c>
      <c r="CD24" s="165">
        <v>0</v>
      </c>
      <c r="CE24" s="100">
        <v>0</v>
      </c>
      <c r="CF24" s="100">
        <v>0</v>
      </c>
      <c r="CG24" s="100">
        <v>0</v>
      </c>
      <c r="CH24" s="100">
        <v>0</v>
      </c>
      <c r="CI24" s="100">
        <v>0</v>
      </c>
      <c r="CJ24" s="100">
        <v>0</v>
      </c>
      <c r="CK24" s="100">
        <v>0</v>
      </c>
      <c r="CL24" s="100">
        <v>0</v>
      </c>
      <c r="CM24" s="100">
        <v>0</v>
      </c>
      <c r="CN24" s="100">
        <f>409+36</f>
        <v>445</v>
      </c>
      <c r="CO24" s="200">
        <v>4</v>
      </c>
      <c r="CP24" s="165">
        <f t="shared" ref="CP24:DA29" si="81">CD24-BF24</f>
        <v>0</v>
      </c>
      <c r="CQ24" s="100">
        <f t="shared" si="81"/>
        <v>0</v>
      </c>
      <c r="CR24" s="100">
        <f t="shared" si="81"/>
        <v>0</v>
      </c>
      <c r="CS24" s="100">
        <f t="shared" si="81"/>
        <v>0</v>
      </c>
      <c r="CT24" s="100">
        <f t="shared" si="81"/>
        <v>0</v>
      </c>
      <c r="CU24" s="100">
        <f t="shared" si="81"/>
        <v>0</v>
      </c>
      <c r="CV24" s="100">
        <f t="shared" si="81"/>
        <v>0</v>
      </c>
      <c r="CW24" s="100">
        <f t="shared" si="81"/>
        <v>0</v>
      </c>
      <c r="CX24" s="100">
        <f t="shared" si="81"/>
        <v>0</v>
      </c>
      <c r="CY24" s="100">
        <f t="shared" si="81"/>
        <v>0</v>
      </c>
      <c r="CZ24" s="100">
        <f t="shared" si="81"/>
        <v>445</v>
      </c>
      <c r="DA24" s="200">
        <f t="shared" si="81"/>
        <v>4</v>
      </c>
      <c r="DB24" s="165">
        <f>18+224</f>
        <v>242</v>
      </c>
      <c r="DC24" s="100">
        <v>296</v>
      </c>
      <c r="DD24" s="100">
        <v>244</v>
      </c>
      <c r="DE24" s="100">
        <v>221</v>
      </c>
      <c r="DF24" s="100">
        <f>13+153</f>
        <v>166</v>
      </c>
      <c r="DG24" s="100">
        <v>152</v>
      </c>
      <c r="DH24" s="100">
        <v>145</v>
      </c>
      <c r="DI24" s="100">
        <v>148</v>
      </c>
      <c r="DJ24" s="100">
        <v>147</v>
      </c>
      <c r="DK24" s="100">
        <v>166</v>
      </c>
      <c r="DL24" s="100">
        <v>155</v>
      </c>
      <c r="DM24" s="200"/>
      <c r="DN24" s="165">
        <f>DB24-CD24</f>
        <v>242</v>
      </c>
      <c r="DO24" s="100">
        <f t="shared" ref="DO24:DY28" si="82">DC24-CE24</f>
        <v>296</v>
      </c>
      <c r="DP24" s="100">
        <f t="shared" si="82"/>
        <v>244</v>
      </c>
      <c r="DQ24" s="100">
        <f t="shared" si="82"/>
        <v>221</v>
      </c>
      <c r="DR24" s="100">
        <f t="shared" si="82"/>
        <v>166</v>
      </c>
      <c r="DS24" s="100">
        <f t="shared" si="82"/>
        <v>152</v>
      </c>
      <c r="DT24" s="100">
        <f t="shared" si="82"/>
        <v>145</v>
      </c>
      <c r="DU24" s="100">
        <f t="shared" si="82"/>
        <v>148</v>
      </c>
      <c r="DV24" s="100">
        <f t="shared" si="82"/>
        <v>147</v>
      </c>
      <c r="DW24" s="100">
        <f t="shared" si="82"/>
        <v>166</v>
      </c>
      <c r="DX24" s="100">
        <f t="shared" si="82"/>
        <v>-290</v>
      </c>
      <c r="DY24" s="200">
        <f t="shared" si="82"/>
        <v>-4</v>
      </c>
    </row>
    <row r="25" spans="1:129" x14ac:dyDescent="0.25">
      <c r="A25" s="19" t="s">
        <v>35</v>
      </c>
      <c r="B25" s="165">
        <v>72</v>
      </c>
      <c r="C25" s="100">
        <v>6</v>
      </c>
      <c r="D25" s="100">
        <v>65</v>
      </c>
      <c r="E25" s="100">
        <v>7</v>
      </c>
      <c r="F25" s="100">
        <v>73</v>
      </c>
      <c r="G25" s="100">
        <v>69</v>
      </c>
      <c r="H25" s="100">
        <v>1</v>
      </c>
      <c r="I25" s="100">
        <v>55</v>
      </c>
      <c r="J25" s="100">
        <v>1</v>
      </c>
      <c r="K25" s="100">
        <v>83</v>
      </c>
      <c r="L25" s="165">
        <v>81</v>
      </c>
      <c r="M25" s="100">
        <v>17</v>
      </c>
      <c r="N25" s="100">
        <v>40</v>
      </c>
      <c r="O25" s="100">
        <v>13</v>
      </c>
      <c r="P25" s="100">
        <v>87</v>
      </c>
      <c r="Q25" s="100">
        <v>7</v>
      </c>
      <c r="R25" s="100">
        <v>78</v>
      </c>
      <c r="S25" s="100">
        <v>72</v>
      </c>
      <c r="T25" s="100">
        <v>6</v>
      </c>
      <c r="U25" s="100">
        <v>66</v>
      </c>
      <c r="V25" s="100">
        <v>3</v>
      </c>
      <c r="W25" s="100">
        <v>73</v>
      </c>
      <c r="X25" s="165">
        <f t="shared" si="67"/>
        <v>32</v>
      </c>
      <c r="Y25" s="100">
        <f t="shared" si="67"/>
        <v>-7</v>
      </c>
      <c r="Z25" s="100">
        <f t="shared" si="67"/>
        <v>-22</v>
      </c>
      <c r="AA25" s="100">
        <f t="shared" si="67"/>
        <v>0</v>
      </c>
      <c r="AB25" s="100">
        <f t="shared" si="67"/>
        <v>-5</v>
      </c>
      <c r="AC25" s="100">
        <f t="shared" si="67"/>
        <v>-3</v>
      </c>
      <c r="AD25" s="100">
        <f t="shared" si="67"/>
        <v>-5</v>
      </c>
      <c r="AE25" s="100">
        <f t="shared" si="67"/>
        <v>-11</v>
      </c>
      <c r="AF25" s="100">
        <f t="shared" si="67"/>
        <v>-2</v>
      </c>
      <c r="AG25" s="200">
        <f t="shared" si="67"/>
        <v>10</v>
      </c>
      <c r="AH25" s="165">
        <v>87</v>
      </c>
      <c r="AI25" s="100">
        <v>79</v>
      </c>
      <c r="AJ25" s="100">
        <v>133</v>
      </c>
      <c r="AK25" s="100">
        <v>84</v>
      </c>
      <c r="AL25" s="100">
        <v>0</v>
      </c>
      <c r="AM25" s="100">
        <v>0</v>
      </c>
      <c r="AN25" s="100">
        <v>0</v>
      </c>
      <c r="AO25" s="100">
        <v>0</v>
      </c>
      <c r="AP25" s="100">
        <v>0</v>
      </c>
      <c r="AQ25" s="100">
        <v>0</v>
      </c>
      <c r="AR25" s="100">
        <v>0</v>
      </c>
      <c r="AS25" s="200">
        <v>0</v>
      </c>
      <c r="AT25" s="165">
        <f t="shared" ref="AT25:AT28" si="83">L25-AH25</f>
        <v>-6</v>
      </c>
      <c r="AU25" s="100">
        <f t="shared" si="68"/>
        <v>-62</v>
      </c>
      <c r="AV25" s="100">
        <f t="shared" si="68"/>
        <v>-93</v>
      </c>
      <c r="AW25" s="100">
        <f t="shared" si="68"/>
        <v>-71</v>
      </c>
      <c r="AX25" s="100">
        <f t="shared" si="68"/>
        <v>87</v>
      </c>
      <c r="AY25" s="100">
        <f t="shared" si="68"/>
        <v>7</v>
      </c>
      <c r="AZ25" s="100">
        <f t="shared" si="68"/>
        <v>78</v>
      </c>
      <c r="BA25" s="100">
        <f t="shared" si="68"/>
        <v>72</v>
      </c>
      <c r="BB25" s="100">
        <f t="shared" si="68"/>
        <v>6</v>
      </c>
      <c r="BC25" s="100">
        <f t="shared" si="68"/>
        <v>66</v>
      </c>
      <c r="BD25" s="100">
        <f t="shared" si="68"/>
        <v>3</v>
      </c>
      <c r="BE25" s="200">
        <f t="shared" si="68"/>
        <v>73</v>
      </c>
      <c r="BF25" s="165">
        <v>0</v>
      </c>
      <c r="BG25" s="100">
        <v>0</v>
      </c>
      <c r="BH25" s="100">
        <v>0</v>
      </c>
      <c r="BI25" s="100">
        <v>0</v>
      </c>
      <c r="BJ25" s="100">
        <v>0</v>
      </c>
      <c r="BK25" s="100">
        <v>0</v>
      </c>
      <c r="BL25" s="100">
        <v>0</v>
      </c>
      <c r="BM25" s="100">
        <v>0</v>
      </c>
      <c r="BN25" s="100">
        <v>0</v>
      </c>
      <c r="BO25" s="100">
        <v>0</v>
      </c>
      <c r="BP25" s="100">
        <v>0</v>
      </c>
      <c r="BQ25" s="200">
        <v>0</v>
      </c>
      <c r="BR25" s="165">
        <f t="shared" si="69"/>
        <v>87</v>
      </c>
      <c r="BS25" s="100">
        <f t="shared" si="70"/>
        <v>79</v>
      </c>
      <c r="BT25" s="100">
        <f t="shared" si="71"/>
        <v>133</v>
      </c>
      <c r="BU25" s="100">
        <f t="shared" si="72"/>
        <v>84</v>
      </c>
      <c r="BV25" s="100">
        <f t="shared" si="73"/>
        <v>0</v>
      </c>
      <c r="BW25" s="100">
        <f t="shared" si="74"/>
        <v>0</v>
      </c>
      <c r="BX25" s="100">
        <f t="shared" si="75"/>
        <v>0</v>
      </c>
      <c r="BY25" s="100">
        <f t="shared" si="76"/>
        <v>0</v>
      </c>
      <c r="BZ25" s="100">
        <f t="shared" si="77"/>
        <v>0</v>
      </c>
      <c r="CA25" s="100">
        <f t="shared" si="78"/>
        <v>0</v>
      </c>
      <c r="CB25" s="100">
        <f t="shared" si="79"/>
        <v>0</v>
      </c>
      <c r="CC25" s="200">
        <f t="shared" si="80"/>
        <v>0</v>
      </c>
      <c r="CD25" s="165">
        <v>0</v>
      </c>
      <c r="CE25" s="100">
        <v>0</v>
      </c>
      <c r="CF25" s="100">
        <v>0</v>
      </c>
      <c r="CG25" s="100">
        <v>0</v>
      </c>
      <c r="CH25" s="100">
        <v>0</v>
      </c>
      <c r="CI25" s="100">
        <v>0</v>
      </c>
      <c r="CJ25" s="100">
        <v>0</v>
      </c>
      <c r="CK25" s="100">
        <v>0</v>
      </c>
      <c r="CL25" s="100">
        <v>0</v>
      </c>
      <c r="CM25" s="100">
        <v>0</v>
      </c>
      <c r="CN25" s="100">
        <v>38</v>
      </c>
      <c r="CO25" s="200">
        <v>0</v>
      </c>
      <c r="CP25" s="165">
        <f t="shared" si="81"/>
        <v>0</v>
      </c>
      <c r="CQ25" s="100">
        <f t="shared" si="81"/>
        <v>0</v>
      </c>
      <c r="CR25" s="100">
        <f t="shared" si="81"/>
        <v>0</v>
      </c>
      <c r="CS25" s="100">
        <f t="shared" si="81"/>
        <v>0</v>
      </c>
      <c r="CT25" s="100">
        <f t="shared" si="81"/>
        <v>0</v>
      </c>
      <c r="CU25" s="100">
        <f t="shared" si="81"/>
        <v>0</v>
      </c>
      <c r="CV25" s="100">
        <f t="shared" si="81"/>
        <v>0</v>
      </c>
      <c r="CW25" s="100">
        <f t="shared" si="81"/>
        <v>0</v>
      </c>
      <c r="CX25" s="100">
        <f t="shared" si="81"/>
        <v>0</v>
      </c>
      <c r="CY25" s="100">
        <f t="shared" si="81"/>
        <v>0</v>
      </c>
      <c r="CZ25" s="100">
        <f t="shared" si="81"/>
        <v>38</v>
      </c>
      <c r="DA25" s="200">
        <f t="shared" si="81"/>
        <v>0</v>
      </c>
      <c r="DB25" s="165">
        <f>59+2</f>
        <v>61</v>
      </c>
      <c r="DC25" s="100">
        <v>82</v>
      </c>
      <c r="DD25" s="100">
        <v>74</v>
      </c>
      <c r="DE25" s="100">
        <v>89</v>
      </c>
      <c r="DF25" s="100">
        <f>3+67</f>
        <v>70</v>
      </c>
      <c r="DG25" s="100">
        <v>57</v>
      </c>
      <c r="DH25" s="100">
        <v>62</v>
      </c>
      <c r="DI25" s="100">
        <v>47</v>
      </c>
      <c r="DJ25" s="100">
        <v>47</v>
      </c>
      <c r="DK25" s="100">
        <v>49</v>
      </c>
      <c r="DL25" s="100">
        <v>44</v>
      </c>
      <c r="DM25" s="200"/>
      <c r="DN25" s="165">
        <f t="shared" ref="DN25:DN28" si="84">DB25-CD25</f>
        <v>61</v>
      </c>
      <c r="DO25" s="100">
        <f t="shared" si="82"/>
        <v>82</v>
      </c>
      <c r="DP25" s="100">
        <f t="shared" si="82"/>
        <v>74</v>
      </c>
      <c r="DQ25" s="100">
        <f t="shared" si="82"/>
        <v>89</v>
      </c>
      <c r="DR25" s="100">
        <f t="shared" si="82"/>
        <v>70</v>
      </c>
      <c r="DS25" s="100">
        <f t="shared" si="82"/>
        <v>57</v>
      </c>
      <c r="DT25" s="100">
        <f t="shared" si="82"/>
        <v>62</v>
      </c>
      <c r="DU25" s="100">
        <f t="shared" si="82"/>
        <v>47</v>
      </c>
      <c r="DV25" s="100">
        <f t="shared" si="82"/>
        <v>47</v>
      </c>
      <c r="DW25" s="100">
        <f t="shared" si="82"/>
        <v>49</v>
      </c>
      <c r="DX25" s="100">
        <f t="shared" si="82"/>
        <v>6</v>
      </c>
      <c r="DY25" s="200">
        <f t="shared" si="82"/>
        <v>0</v>
      </c>
    </row>
    <row r="26" spans="1:129" x14ac:dyDescent="0.25">
      <c r="A26" s="19" t="s">
        <v>36</v>
      </c>
      <c r="B26" s="165">
        <v>34</v>
      </c>
      <c r="C26" s="100">
        <v>10</v>
      </c>
      <c r="D26" s="100">
        <v>30</v>
      </c>
      <c r="E26" s="100">
        <v>9</v>
      </c>
      <c r="F26" s="100">
        <v>27</v>
      </c>
      <c r="G26" s="100">
        <v>28</v>
      </c>
      <c r="H26" s="100">
        <v>11</v>
      </c>
      <c r="I26" s="100">
        <v>27</v>
      </c>
      <c r="J26" s="100">
        <v>6</v>
      </c>
      <c r="K26" s="100">
        <v>29</v>
      </c>
      <c r="L26" s="165">
        <v>33</v>
      </c>
      <c r="M26" s="100">
        <v>21</v>
      </c>
      <c r="N26" s="100">
        <v>39</v>
      </c>
      <c r="O26" s="100">
        <v>13</v>
      </c>
      <c r="P26" s="100">
        <v>36</v>
      </c>
      <c r="Q26" s="100">
        <v>15</v>
      </c>
      <c r="R26" s="100">
        <v>32</v>
      </c>
      <c r="S26" s="100">
        <v>48</v>
      </c>
      <c r="T26" s="100">
        <v>6</v>
      </c>
      <c r="U26" s="100">
        <v>28</v>
      </c>
      <c r="V26" s="100">
        <v>4</v>
      </c>
      <c r="W26" s="100">
        <v>31</v>
      </c>
      <c r="X26" s="165">
        <f t="shared" si="67"/>
        <v>-5</v>
      </c>
      <c r="Y26" s="100">
        <f t="shared" si="67"/>
        <v>-3</v>
      </c>
      <c r="Z26" s="100">
        <f t="shared" si="67"/>
        <v>-6</v>
      </c>
      <c r="AA26" s="100">
        <f t="shared" si="67"/>
        <v>-6</v>
      </c>
      <c r="AB26" s="100">
        <f t="shared" si="67"/>
        <v>-5</v>
      </c>
      <c r="AC26" s="100">
        <f t="shared" si="67"/>
        <v>-20</v>
      </c>
      <c r="AD26" s="100">
        <f t="shared" si="67"/>
        <v>5</v>
      </c>
      <c r="AE26" s="100">
        <f t="shared" si="67"/>
        <v>-1</v>
      </c>
      <c r="AF26" s="100">
        <f t="shared" si="67"/>
        <v>2</v>
      </c>
      <c r="AG26" s="200">
        <f t="shared" si="67"/>
        <v>-2</v>
      </c>
      <c r="AH26" s="165">
        <v>54</v>
      </c>
      <c r="AI26" s="100">
        <v>18</v>
      </c>
      <c r="AJ26" s="100">
        <v>74</v>
      </c>
      <c r="AK26" s="100">
        <v>59</v>
      </c>
      <c r="AL26" s="100">
        <v>0</v>
      </c>
      <c r="AM26" s="100">
        <v>0</v>
      </c>
      <c r="AN26" s="100">
        <v>0</v>
      </c>
      <c r="AO26" s="100">
        <v>0</v>
      </c>
      <c r="AP26" s="100">
        <v>0</v>
      </c>
      <c r="AQ26" s="100">
        <v>0</v>
      </c>
      <c r="AR26" s="100">
        <v>0</v>
      </c>
      <c r="AS26" s="100">
        <v>0</v>
      </c>
      <c r="AT26" s="165">
        <f t="shared" si="83"/>
        <v>-21</v>
      </c>
      <c r="AU26" s="100">
        <f t="shared" si="68"/>
        <v>3</v>
      </c>
      <c r="AV26" s="100">
        <f t="shared" si="68"/>
        <v>-35</v>
      </c>
      <c r="AW26" s="100">
        <f t="shared" si="68"/>
        <v>-46</v>
      </c>
      <c r="AX26" s="100">
        <f t="shared" si="68"/>
        <v>36</v>
      </c>
      <c r="AY26" s="100">
        <f t="shared" si="68"/>
        <v>15</v>
      </c>
      <c r="AZ26" s="100">
        <f t="shared" si="68"/>
        <v>32</v>
      </c>
      <c r="BA26" s="100">
        <f t="shared" si="68"/>
        <v>48</v>
      </c>
      <c r="BB26" s="100">
        <f t="shared" si="68"/>
        <v>6</v>
      </c>
      <c r="BC26" s="100">
        <f t="shared" si="68"/>
        <v>28</v>
      </c>
      <c r="BD26" s="100">
        <f t="shared" si="68"/>
        <v>4</v>
      </c>
      <c r="BE26" s="200">
        <f t="shared" si="68"/>
        <v>31</v>
      </c>
      <c r="BF26" s="165">
        <v>0</v>
      </c>
      <c r="BG26" s="100">
        <v>0</v>
      </c>
      <c r="BH26" s="100">
        <v>0</v>
      </c>
      <c r="BI26" s="100">
        <v>0</v>
      </c>
      <c r="BJ26" s="100">
        <v>0</v>
      </c>
      <c r="BK26" s="100">
        <v>0</v>
      </c>
      <c r="BL26" s="100">
        <v>0</v>
      </c>
      <c r="BM26" s="100">
        <v>0</v>
      </c>
      <c r="BN26" s="100">
        <v>0</v>
      </c>
      <c r="BO26" s="100">
        <v>0</v>
      </c>
      <c r="BP26" s="100">
        <v>0</v>
      </c>
      <c r="BQ26" s="200">
        <v>0</v>
      </c>
      <c r="BR26" s="165">
        <f t="shared" si="69"/>
        <v>54</v>
      </c>
      <c r="BS26" s="100">
        <f t="shared" si="70"/>
        <v>18</v>
      </c>
      <c r="BT26" s="100">
        <f t="shared" si="71"/>
        <v>74</v>
      </c>
      <c r="BU26" s="100">
        <f t="shared" si="72"/>
        <v>59</v>
      </c>
      <c r="BV26" s="100">
        <f t="shared" si="73"/>
        <v>0</v>
      </c>
      <c r="BW26" s="100">
        <f t="shared" si="74"/>
        <v>0</v>
      </c>
      <c r="BX26" s="100">
        <f t="shared" si="75"/>
        <v>0</v>
      </c>
      <c r="BY26" s="100">
        <f t="shared" si="76"/>
        <v>0</v>
      </c>
      <c r="BZ26" s="100">
        <f t="shared" si="77"/>
        <v>0</v>
      </c>
      <c r="CA26" s="100">
        <f t="shared" si="78"/>
        <v>0</v>
      </c>
      <c r="CB26" s="100">
        <f t="shared" si="79"/>
        <v>0</v>
      </c>
      <c r="CC26" s="200">
        <f t="shared" si="80"/>
        <v>0</v>
      </c>
      <c r="CD26" s="165">
        <v>0</v>
      </c>
      <c r="CE26" s="100">
        <v>0</v>
      </c>
      <c r="CF26" s="100">
        <v>0</v>
      </c>
      <c r="CG26" s="100">
        <v>0</v>
      </c>
      <c r="CH26" s="100">
        <v>0</v>
      </c>
      <c r="CI26" s="100">
        <v>0</v>
      </c>
      <c r="CJ26" s="100">
        <v>0</v>
      </c>
      <c r="CK26" s="100">
        <v>0</v>
      </c>
      <c r="CL26" s="100">
        <v>0</v>
      </c>
      <c r="CM26" s="100">
        <v>0</v>
      </c>
      <c r="CN26" s="100">
        <f>44+8</f>
        <v>52</v>
      </c>
      <c r="CO26" s="200">
        <v>0</v>
      </c>
      <c r="CP26" s="165">
        <f t="shared" si="81"/>
        <v>0</v>
      </c>
      <c r="CQ26" s="100">
        <f t="shared" si="81"/>
        <v>0</v>
      </c>
      <c r="CR26" s="100">
        <f t="shared" si="81"/>
        <v>0</v>
      </c>
      <c r="CS26" s="100">
        <f t="shared" si="81"/>
        <v>0</v>
      </c>
      <c r="CT26" s="100">
        <f t="shared" si="81"/>
        <v>0</v>
      </c>
      <c r="CU26" s="100">
        <f t="shared" si="81"/>
        <v>0</v>
      </c>
      <c r="CV26" s="100">
        <f t="shared" si="81"/>
        <v>0</v>
      </c>
      <c r="CW26" s="100">
        <f t="shared" si="81"/>
        <v>0</v>
      </c>
      <c r="CX26" s="100">
        <f t="shared" si="81"/>
        <v>0</v>
      </c>
      <c r="CY26" s="100">
        <f t="shared" si="81"/>
        <v>0</v>
      </c>
      <c r="CZ26" s="100">
        <f t="shared" si="81"/>
        <v>52</v>
      </c>
      <c r="DA26" s="200">
        <f t="shared" si="81"/>
        <v>0</v>
      </c>
      <c r="DB26" s="165">
        <f>35+8</f>
        <v>43</v>
      </c>
      <c r="DC26" s="100">
        <v>35</v>
      </c>
      <c r="DD26" s="100">
        <v>34</v>
      </c>
      <c r="DE26" s="100">
        <v>24</v>
      </c>
      <c r="DF26" s="100">
        <f>18+3</f>
        <v>21</v>
      </c>
      <c r="DG26" s="100">
        <v>23</v>
      </c>
      <c r="DH26" s="100">
        <v>22</v>
      </c>
      <c r="DI26" s="100">
        <v>24</v>
      </c>
      <c r="DJ26" s="100">
        <v>24</v>
      </c>
      <c r="DK26" s="100">
        <v>32</v>
      </c>
      <c r="DL26" s="100">
        <v>29</v>
      </c>
      <c r="DM26" s="200"/>
      <c r="DN26" s="165">
        <f t="shared" si="84"/>
        <v>43</v>
      </c>
      <c r="DO26" s="100">
        <f t="shared" si="82"/>
        <v>35</v>
      </c>
      <c r="DP26" s="100">
        <f t="shared" si="82"/>
        <v>34</v>
      </c>
      <c r="DQ26" s="100">
        <f t="shared" si="82"/>
        <v>24</v>
      </c>
      <c r="DR26" s="100">
        <f t="shared" si="82"/>
        <v>21</v>
      </c>
      <c r="DS26" s="100">
        <f t="shared" si="82"/>
        <v>23</v>
      </c>
      <c r="DT26" s="100">
        <f t="shared" si="82"/>
        <v>22</v>
      </c>
      <c r="DU26" s="100">
        <f t="shared" si="82"/>
        <v>24</v>
      </c>
      <c r="DV26" s="100">
        <f t="shared" si="82"/>
        <v>24</v>
      </c>
      <c r="DW26" s="100">
        <f t="shared" si="82"/>
        <v>32</v>
      </c>
      <c r="DX26" s="100">
        <f t="shared" si="82"/>
        <v>-23</v>
      </c>
      <c r="DY26" s="200">
        <f t="shared" si="82"/>
        <v>0</v>
      </c>
    </row>
    <row r="27" spans="1:129" x14ac:dyDescent="0.25">
      <c r="A27" s="19" t="s">
        <v>37</v>
      </c>
      <c r="B27" s="165">
        <v>0</v>
      </c>
      <c r="C27" s="100">
        <v>0</v>
      </c>
      <c r="D27" s="100">
        <v>0</v>
      </c>
      <c r="E27" s="100">
        <v>0</v>
      </c>
      <c r="F27" s="100">
        <v>0</v>
      </c>
      <c r="G27" s="100">
        <v>0</v>
      </c>
      <c r="H27" s="100">
        <v>0</v>
      </c>
      <c r="I27" s="100">
        <v>0</v>
      </c>
      <c r="J27" s="100">
        <v>0</v>
      </c>
      <c r="K27" s="100">
        <v>0</v>
      </c>
      <c r="L27" s="165">
        <v>0</v>
      </c>
      <c r="M27" s="100">
        <v>0</v>
      </c>
      <c r="N27" s="100">
        <v>0</v>
      </c>
      <c r="O27" s="100">
        <v>0</v>
      </c>
      <c r="P27" s="100">
        <v>0</v>
      </c>
      <c r="Q27" s="100">
        <v>0</v>
      </c>
      <c r="R27" s="100">
        <v>0</v>
      </c>
      <c r="S27" s="100">
        <v>0</v>
      </c>
      <c r="T27" s="100">
        <v>0</v>
      </c>
      <c r="U27" s="100">
        <v>0</v>
      </c>
      <c r="V27" s="100">
        <v>0</v>
      </c>
      <c r="W27" s="100">
        <v>0</v>
      </c>
      <c r="X27" s="165">
        <f t="shared" si="67"/>
        <v>0</v>
      </c>
      <c r="Y27" s="100">
        <f t="shared" si="67"/>
        <v>0</v>
      </c>
      <c r="Z27" s="100">
        <f t="shared" si="67"/>
        <v>0</v>
      </c>
      <c r="AA27" s="100">
        <f t="shared" si="67"/>
        <v>0</v>
      </c>
      <c r="AB27" s="100">
        <f t="shared" si="67"/>
        <v>0</v>
      </c>
      <c r="AC27" s="100">
        <f t="shared" si="67"/>
        <v>0</v>
      </c>
      <c r="AD27" s="100">
        <f t="shared" si="67"/>
        <v>0</v>
      </c>
      <c r="AE27" s="100">
        <f t="shared" si="67"/>
        <v>0</v>
      </c>
      <c r="AF27" s="100">
        <f t="shared" si="67"/>
        <v>0</v>
      </c>
      <c r="AG27" s="200">
        <f t="shared" si="67"/>
        <v>0</v>
      </c>
      <c r="AH27" s="165">
        <v>0</v>
      </c>
      <c r="AI27" s="100">
        <v>0</v>
      </c>
      <c r="AJ27" s="100">
        <v>0</v>
      </c>
      <c r="AK27" s="100">
        <v>0</v>
      </c>
      <c r="AL27" s="100">
        <v>0</v>
      </c>
      <c r="AM27" s="100">
        <v>0</v>
      </c>
      <c r="AN27" s="100">
        <v>0</v>
      </c>
      <c r="AO27" s="100">
        <v>0</v>
      </c>
      <c r="AP27" s="100">
        <v>0</v>
      </c>
      <c r="AQ27" s="100">
        <v>0</v>
      </c>
      <c r="AR27" s="100">
        <v>0</v>
      </c>
      <c r="AS27" s="200">
        <v>0</v>
      </c>
      <c r="AT27" s="165">
        <f t="shared" si="83"/>
        <v>0</v>
      </c>
      <c r="AU27" s="100">
        <f t="shared" si="68"/>
        <v>0</v>
      </c>
      <c r="AV27" s="100">
        <f t="shared" si="68"/>
        <v>0</v>
      </c>
      <c r="AW27" s="100">
        <f t="shared" si="68"/>
        <v>0</v>
      </c>
      <c r="AX27" s="100">
        <f t="shared" si="68"/>
        <v>0</v>
      </c>
      <c r="AY27" s="100">
        <f t="shared" si="68"/>
        <v>0</v>
      </c>
      <c r="AZ27" s="100">
        <f t="shared" si="68"/>
        <v>0</v>
      </c>
      <c r="BA27" s="100">
        <f t="shared" si="68"/>
        <v>0</v>
      </c>
      <c r="BB27" s="100">
        <f t="shared" si="68"/>
        <v>0</v>
      </c>
      <c r="BC27" s="100">
        <f t="shared" si="68"/>
        <v>0</v>
      </c>
      <c r="BD27" s="100">
        <f t="shared" si="68"/>
        <v>0</v>
      </c>
      <c r="BE27" s="200">
        <f t="shared" si="68"/>
        <v>0</v>
      </c>
      <c r="BF27" s="165">
        <v>0</v>
      </c>
      <c r="BG27" s="100">
        <v>0</v>
      </c>
      <c r="BH27" s="100">
        <v>0</v>
      </c>
      <c r="BI27" s="100">
        <v>0</v>
      </c>
      <c r="BJ27" s="100">
        <v>0</v>
      </c>
      <c r="BK27" s="100">
        <v>0</v>
      </c>
      <c r="BL27" s="100">
        <v>0</v>
      </c>
      <c r="BM27" s="100">
        <v>0</v>
      </c>
      <c r="BN27" s="100">
        <v>0</v>
      </c>
      <c r="BO27" s="100">
        <v>0</v>
      </c>
      <c r="BP27" s="100">
        <v>0</v>
      </c>
      <c r="BQ27" s="200">
        <v>0</v>
      </c>
      <c r="BR27" s="165">
        <f t="shared" si="69"/>
        <v>0</v>
      </c>
      <c r="BS27" s="100">
        <f t="shared" si="70"/>
        <v>0</v>
      </c>
      <c r="BT27" s="100">
        <f t="shared" si="71"/>
        <v>0</v>
      </c>
      <c r="BU27" s="100">
        <f t="shared" si="72"/>
        <v>0</v>
      </c>
      <c r="BV27" s="100">
        <f t="shared" si="73"/>
        <v>0</v>
      </c>
      <c r="BW27" s="100">
        <f t="shared" si="74"/>
        <v>0</v>
      </c>
      <c r="BX27" s="100">
        <f t="shared" si="75"/>
        <v>0</v>
      </c>
      <c r="BY27" s="100">
        <f t="shared" si="76"/>
        <v>0</v>
      </c>
      <c r="BZ27" s="100">
        <f t="shared" si="77"/>
        <v>0</v>
      </c>
      <c r="CA27" s="100">
        <f t="shared" si="78"/>
        <v>0</v>
      </c>
      <c r="CB27" s="100">
        <f t="shared" si="79"/>
        <v>0</v>
      </c>
      <c r="CC27" s="200">
        <f t="shared" si="80"/>
        <v>0</v>
      </c>
      <c r="CD27" s="165">
        <v>0</v>
      </c>
      <c r="CE27" s="100">
        <v>0</v>
      </c>
      <c r="CF27" s="100">
        <v>0</v>
      </c>
      <c r="CG27" s="100">
        <v>0</v>
      </c>
      <c r="CH27" s="100">
        <v>0</v>
      </c>
      <c r="CI27" s="100">
        <v>0</v>
      </c>
      <c r="CJ27" s="100">
        <v>0</v>
      </c>
      <c r="CK27" s="100">
        <v>0</v>
      </c>
      <c r="CL27" s="100">
        <v>0</v>
      </c>
      <c r="CM27" s="100">
        <v>0</v>
      </c>
      <c r="CN27" s="100">
        <v>2</v>
      </c>
      <c r="CO27" s="200">
        <v>0</v>
      </c>
      <c r="CP27" s="165">
        <f t="shared" si="81"/>
        <v>0</v>
      </c>
      <c r="CQ27" s="100">
        <f t="shared" si="81"/>
        <v>0</v>
      </c>
      <c r="CR27" s="100">
        <f t="shared" si="81"/>
        <v>0</v>
      </c>
      <c r="CS27" s="100">
        <f t="shared" si="81"/>
        <v>0</v>
      </c>
      <c r="CT27" s="100">
        <f t="shared" si="81"/>
        <v>0</v>
      </c>
      <c r="CU27" s="100">
        <f t="shared" si="81"/>
        <v>0</v>
      </c>
      <c r="CV27" s="100">
        <f t="shared" si="81"/>
        <v>0</v>
      </c>
      <c r="CW27" s="100">
        <f t="shared" si="81"/>
        <v>0</v>
      </c>
      <c r="CX27" s="100">
        <f t="shared" si="81"/>
        <v>0</v>
      </c>
      <c r="CY27" s="100">
        <f t="shared" si="81"/>
        <v>0</v>
      </c>
      <c r="CZ27" s="100">
        <f t="shared" si="81"/>
        <v>2</v>
      </c>
      <c r="DA27" s="200">
        <f t="shared" si="81"/>
        <v>0</v>
      </c>
      <c r="DB27" s="165">
        <v>1</v>
      </c>
      <c r="DC27" s="100">
        <v>3</v>
      </c>
      <c r="DD27" s="100">
        <v>0</v>
      </c>
      <c r="DE27" s="100">
        <v>1</v>
      </c>
      <c r="DF27" s="100">
        <v>1</v>
      </c>
      <c r="DG27" s="100">
        <v>0</v>
      </c>
      <c r="DH27" s="100">
        <v>0</v>
      </c>
      <c r="DI27" s="100">
        <v>2</v>
      </c>
      <c r="DJ27" s="100">
        <v>2</v>
      </c>
      <c r="DK27" s="100">
        <v>3</v>
      </c>
      <c r="DL27" s="100">
        <v>2</v>
      </c>
      <c r="DM27" s="200"/>
      <c r="DN27" s="165">
        <f t="shared" si="84"/>
        <v>1</v>
      </c>
      <c r="DO27" s="100">
        <f t="shared" si="82"/>
        <v>3</v>
      </c>
      <c r="DP27" s="100">
        <f t="shared" si="82"/>
        <v>0</v>
      </c>
      <c r="DQ27" s="100">
        <f t="shared" si="82"/>
        <v>1</v>
      </c>
      <c r="DR27" s="100">
        <f t="shared" si="82"/>
        <v>1</v>
      </c>
      <c r="DS27" s="100">
        <f t="shared" si="82"/>
        <v>0</v>
      </c>
      <c r="DT27" s="100">
        <f t="shared" si="82"/>
        <v>0</v>
      </c>
      <c r="DU27" s="100">
        <f t="shared" si="82"/>
        <v>2</v>
      </c>
      <c r="DV27" s="100">
        <f t="shared" si="82"/>
        <v>2</v>
      </c>
      <c r="DW27" s="100">
        <f t="shared" si="82"/>
        <v>3</v>
      </c>
      <c r="DX27" s="100">
        <f t="shared" si="82"/>
        <v>0</v>
      </c>
      <c r="DY27" s="200">
        <f t="shared" si="82"/>
        <v>0</v>
      </c>
    </row>
    <row r="28" spans="1:129" x14ac:dyDescent="0.25">
      <c r="A28" s="19" t="s">
        <v>46</v>
      </c>
      <c r="B28" s="165">
        <v>0</v>
      </c>
      <c r="C28" s="100">
        <v>0</v>
      </c>
      <c r="D28" s="100">
        <v>0</v>
      </c>
      <c r="E28" s="100">
        <v>0</v>
      </c>
      <c r="F28" s="100">
        <v>0</v>
      </c>
      <c r="G28" s="100">
        <v>0</v>
      </c>
      <c r="H28" s="100">
        <v>0</v>
      </c>
      <c r="I28" s="100">
        <v>0</v>
      </c>
      <c r="J28" s="100">
        <v>0</v>
      </c>
      <c r="K28" s="100">
        <v>0</v>
      </c>
      <c r="L28" s="165">
        <v>0</v>
      </c>
      <c r="M28" s="100">
        <v>0</v>
      </c>
      <c r="N28" s="100">
        <v>0</v>
      </c>
      <c r="O28" s="100">
        <v>0</v>
      </c>
      <c r="P28" s="100">
        <v>0</v>
      </c>
      <c r="Q28" s="100">
        <v>0</v>
      </c>
      <c r="R28" s="100">
        <v>0</v>
      </c>
      <c r="S28" s="100">
        <v>0</v>
      </c>
      <c r="T28" s="100">
        <v>0</v>
      </c>
      <c r="U28" s="100">
        <v>0</v>
      </c>
      <c r="V28" s="100">
        <v>0</v>
      </c>
      <c r="W28" s="100">
        <v>0</v>
      </c>
      <c r="X28" s="165">
        <f t="shared" si="67"/>
        <v>0</v>
      </c>
      <c r="Y28" s="100">
        <f t="shared" si="67"/>
        <v>0</v>
      </c>
      <c r="Z28" s="100">
        <f t="shared" si="67"/>
        <v>0</v>
      </c>
      <c r="AA28" s="100">
        <f t="shared" si="67"/>
        <v>0</v>
      </c>
      <c r="AB28" s="100">
        <f t="shared" si="67"/>
        <v>0</v>
      </c>
      <c r="AC28" s="100">
        <f t="shared" si="67"/>
        <v>0</v>
      </c>
      <c r="AD28" s="100">
        <f t="shared" si="67"/>
        <v>0</v>
      </c>
      <c r="AE28" s="100">
        <f t="shared" si="67"/>
        <v>0</v>
      </c>
      <c r="AF28" s="100">
        <f t="shared" si="67"/>
        <v>0</v>
      </c>
      <c r="AG28" s="200">
        <f t="shared" si="67"/>
        <v>0</v>
      </c>
      <c r="AH28" s="165">
        <v>0</v>
      </c>
      <c r="AI28" s="100">
        <v>0</v>
      </c>
      <c r="AJ28" s="100">
        <v>0</v>
      </c>
      <c r="AK28" s="100">
        <v>0</v>
      </c>
      <c r="AL28" s="100">
        <v>0</v>
      </c>
      <c r="AM28" s="100">
        <v>0</v>
      </c>
      <c r="AN28" s="100">
        <v>0</v>
      </c>
      <c r="AO28" s="100">
        <v>0</v>
      </c>
      <c r="AP28" s="100">
        <v>0</v>
      </c>
      <c r="AQ28" s="100">
        <v>0</v>
      </c>
      <c r="AR28" s="100">
        <v>0</v>
      </c>
      <c r="AS28" s="200">
        <v>0</v>
      </c>
      <c r="AT28" s="165">
        <f t="shared" si="83"/>
        <v>0</v>
      </c>
      <c r="AU28" s="100">
        <f t="shared" si="68"/>
        <v>0</v>
      </c>
      <c r="AV28" s="100">
        <f t="shared" si="68"/>
        <v>0</v>
      </c>
      <c r="AW28" s="100">
        <f t="shared" si="68"/>
        <v>0</v>
      </c>
      <c r="AX28" s="100">
        <f t="shared" si="68"/>
        <v>0</v>
      </c>
      <c r="AY28" s="100">
        <f t="shared" si="68"/>
        <v>0</v>
      </c>
      <c r="AZ28" s="100">
        <f t="shared" si="68"/>
        <v>0</v>
      </c>
      <c r="BA28" s="100">
        <f t="shared" si="68"/>
        <v>0</v>
      </c>
      <c r="BB28" s="100">
        <f t="shared" si="68"/>
        <v>0</v>
      </c>
      <c r="BC28" s="100">
        <f t="shared" si="68"/>
        <v>0</v>
      </c>
      <c r="BD28" s="100">
        <f t="shared" si="68"/>
        <v>0</v>
      </c>
      <c r="BE28" s="200">
        <f t="shared" si="68"/>
        <v>0</v>
      </c>
      <c r="BF28" s="165">
        <v>0</v>
      </c>
      <c r="BG28" s="100">
        <v>0</v>
      </c>
      <c r="BH28" s="100">
        <v>0</v>
      </c>
      <c r="BI28" s="100">
        <v>0</v>
      </c>
      <c r="BJ28" s="100">
        <v>0</v>
      </c>
      <c r="BK28" s="100">
        <v>0</v>
      </c>
      <c r="BL28" s="100">
        <v>0</v>
      </c>
      <c r="BM28" s="100">
        <v>0</v>
      </c>
      <c r="BN28" s="100">
        <v>0</v>
      </c>
      <c r="BO28" s="100">
        <v>0</v>
      </c>
      <c r="BP28" s="100">
        <v>0</v>
      </c>
      <c r="BQ28" s="200">
        <v>0</v>
      </c>
      <c r="BR28" s="165">
        <f t="shared" si="69"/>
        <v>0</v>
      </c>
      <c r="BS28" s="100">
        <f t="shared" si="70"/>
        <v>0</v>
      </c>
      <c r="BT28" s="100">
        <f t="shared" si="71"/>
        <v>0</v>
      </c>
      <c r="BU28" s="100">
        <f t="shared" si="72"/>
        <v>0</v>
      </c>
      <c r="BV28" s="100">
        <f t="shared" si="73"/>
        <v>0</v>
      </c>
      <c r="BW28" s="100">
        <f t="shared" si="74"/>
        <v>0</v>
      </c>
      <c r="BX28" s="100">
        <f t="shared" si="75"/>
        <v>0</v>
      </c>
      <c r="BY28" s="100">
        <f t="shared" si="76"/>
        <v>0</v>
      </c>
      <c r="BZ28" s="100">
        <f t="shared" si="77"/>
        <v>0</v>
      </c>
      <c r="CA28" s="100">
        <f t="shared" si="78"/>
        <v>0</v>
      </c>
      <c r="CB28" s="100">
        <f t="shared" si="79"/>
        <v>0</v>
      </c>
      <c r="CC28" s="200">
        <f t="shared" si="80"/>
        <v>0</v>
      </c>
      <c r="CD28" s="165">
        <v>0</v>
      </c>
      <c r="CE28" s="100">
        <v>0</v>
      </c>
      <c r="CF28" s="100">
        <v>0</v>
      </c>
      <c r="CG28" s="100">
        <v>0</v>
      </c>
      <c r="CH28" s="100">
        <v>0</v>
      </c>
      <c r="CI28" s="100">
        <v>0</v>
      </c>
      <c r="CJ28" s="100">
        <v>0</v>
      </c>
      <c r="CK28" s="100">
        <v>0</v>
      </c>
      <c r="CL28" s="100">
        <v>0</v>
      </c>
      <c r="CM28" s="100">
        <v>0</v>
      </c>
      <c r="CN28" s="100">
        <v>0</v>
      </c>
      <c r="CO28" s="200">
        <v>0</v>
      </c>
      <c r="CP28" s="165">
        <f t="shared" si="81"/>
        <v>0</v>
      </c>
      <c r="CQ28" s="100">
        <f t="shared" si="81"/>
        <v>0</v>
      </c>
      <c r="CR28" s="100">
        <f t="shared" si="81"/>
        <v>0</v>
      </c>
      <c r="CS28" s="100">
        <f t="shared" si="81"/>
        <v>0</v>
      </c>
      <c r="CT28" s="100">
        <f t="shared" si="81"/>
        <v>0</v>
      </c>
      <c r="CU28" s="100">
        <f t="shared" si="81"/>
        <v>0</v>
      </c>
      <c r="CV28" s="100">
        <f t="shared" si="81"/>
        <v>0</v>
      </c>
      <c r="CW28" s="100">
        <f t="shared" si="81"/>
        <v>0</v>
      </c>
      <c r="CX28" s="100">
        <f t="shared" si="81"/>
        <v>0</v>
      </c>
      <c r="CY28" s="100">
        <f t="shared" si="81"/>
        <v>0</v>
      </c>
      <c r="CZ28" s="100">
        <f t="shared" si="81"/>
        <v>0</v>
      </c>
      <c r="DA28" s="200">
        <f t="shared" si="81"/>
        <v>0</v>
      </c>
      <c r="DB28" s="165">
        <v>0</v>
      </c>
      <c r="DC28" s="100">
        <v>0</v>
      </c>
      <c r="DD28" s="100">
        <v>0</v>
      </c>
      <c r="DE28" s="100">
        <v>0</v>
      </c>
      <c r="DF28" s="100">
        <v>0</v>
      </c>
      <c r="DG28" s="100">
        <v>0</v>
      </c>
      <c r="DH28" s="100">
        <v>0</v>
      </c>
      <c r="DI28" s="100">
        <v>0</v>
      </c>
      <c r="DJ28" s="100">
        <v>0</v>
      </c>
      <c r="DK28" s="100">
        <v>0</v>
      </c>
      <c r="DL28" s="100">
        <v>0</v>
      </c>
      <c r="DM28" s="200"/>
      <c r="DN28" s="165">
        <f t="shared" si="84"/>
        <v>0</v>
      </c>
      <c r="DO28" s="100">
        <f t="shared" si="82"/>
        <v>0</v>
      </c>
      <c r="DP28" s="100">
        <f t="shared" si="82"/>
        <v>0</v>
      </c>
      <c r="DQ28" s="100">
        <f t="shared" si="82"/>
        <v>0</v>
      </c>
      <c r="DR28" s="100">
        <f t="shared" si="82"/>
        <v>0</v>
      </c>
      <c r="DS28" s="100">
        <f t="shared" si="82"/>
        <v>0</v>
      </c>
      <c r="DT28" s="100">
        <f>DI28-CJ28</f>
        <v>0</v>
      </c>
      <c r="DU28" s="100" t="e">
        <f>#REF!-CK28</f>
        <v>#REF!</v>
      </c>
      <c r="DV28" s="100">
        <f t="shared" si="82"/>
        <v>0</v>
      </c>
      <c r="DW28" s="100">
        <f t="shared" si="82"/>
        <v>0</v>
      </c>
      <c r="DX28" s="100">
        <f t="shared" si="82"/>
        <v>0</v>
      </c>
      <c r="DY28" s="200">
        <f t="shared" si="82"/>
        <v>0</v>
      </c>
    </row>
    <row r="29" spans="1:129" x14ac:dyDescent="0.25">
      <c r="A29" s="19" t="s">
        <v>39</v>
      </c>
      <c r="B29" s="165">
        <f>SUM(B24:B28)</f>
        <v>670</v>
      </c>
      <c r="C29" s="100">
        <f t="shared" ref="C29:K29" si="85">SUM(C24:C28)</f>
        <v>30</v>
      </c>
      <c r="D29" s="100">
        <f t="shared" si="85"/>
        <v>585</v>
      </c>
      <c r="E29" s="100">
        <f t="shared" si="85"/>
        <v>42</v>
      </c>
      <c r="F29" s="100">
        <f t="shared" si="85"/>
        <v>508</v>
      </c>
      <c r="G29" s="100">
        <f t="shared" si="85"/>
        <v>496</v>
      </c>
      <c r="H29" s="100">
        <f t="shared" si="85"/>
        <v>64</v>
      </c>
      <c r="I29" s="100">
        <f t="shared" si="85"/>
        <v>441</v>
      </c>
      <c r="J29" s="100">
        <f t="shared" si="85"/>
        <v>63</v>
      </c>
      <c r="K29" s="100">
        <f t="shared" si="85"/>
        <v>503</v>
      </c>
      <c r="L29" s="165">
        <f>SUM(L24:L28)</f>
        <v>432</v>
      </c>
      <c r="M29" s="100">
        <f t="shared" ref="M29:W29" si="86">SUM(M24:M28)</f>
        <v>164</v>
      </c>
      <c r="N29" s="100">
        <f t="shared" si="86"/>
        <v>490</v>
      </c>
      <c r="O29" s="100">
        <f t="shared" si="86"/>
        <v>38</v>
      </c>
      <c r="P29" s="100">
        <f t="shared" si="86"/>
        <v>520</v>
      </c>
      <c r="Q29" s="100">
        <f t="shared" si="86"/>
        <v>66</v>
      </c>
      <c r="R29" s="100">
        <f t="shared" si="86"/>
        <v>496</v>
      </c>
      <c r="S29" s="100">
        <f t="shared" si="86"/>
        <v>519</v>
      </c>
      <c r="T29" s="100">
        <f t="shared" si="86"/>
        <v>64</v>
      </c>
      <c r="U29" s="100">
        <f t="shared" si="86"/>
        <v>483</v>
      </c>
      <c r="V29" s="100">
        <f t="shared" si="86"/>
        <v>70</v>
      </c>
      <c r="W29" s="100">
        <f t="shared" si="86"/>
        <v>465</v>
      </c>
      <c r="X29" s="165">
        <f t="shared" ref="X29" si="87">SUM(X24:X28)</f>
        <v>180</v>
      </c>
      <c r="Y29" s="100">
        <f t="shared" ref="Y29" si="88">SUM(Y24:Y28)</f>
        <v>-8</v>
      </c>
      <c r="Z29" s="100">
        <f t="shared" ref="Z29" si="89">SUM(Z24:Z28)</f>
        <v>65</v>
      </c>
      <c r="AA29" s="100">
        <f t="shared" ref="AA29" si="90">SUM(AA24:AA28)</f>
        <v>-24</v>
      </c>
      <c r="AB29" s="100">
        <f t="shared" ref="AB29" si="91">SUM(AB24:AB28)</f>
        <v>12</v>
      </c>
      <c r="AC29" s="100">
        <f t="shared" ref="AC29" si="92">SUM(AC24:AC28)</f>
        <v>-23</v>
      </c>
      <c r="AD29" s="100">
        <f t="shared" ref="AD29" si="93">SUM(AD24:AD28)</f>
        <v>0</v>
      </c>
      <c r="AE29" s="100">
        <f t="shared" ref="AE29" si="94">SUM(AE24:AE28)</f>
        <v>-42</v>
      </c>
      <c r="AF29" s="100">
        <f t="shared" ref="AF29" si="95">SUM(AF24:AF28)</f>
        <v>-7</v>
      </c>
      <c r="AG29" s="200">
        <f t="shared" ref="AG29" si="96">SUM(AG24:AG28)</f>
        <v>38</v>
      </c>
      <c r="AH29" s="165">
        <f t="shared" ref="AH29:AK29" si="97">SUM(AH24:AH28)</f>
        <v>552</v>
      </c>
      <c r="AI29" s="100">
        <f t="shared" si="97"/>
        <v>335</v>
      </c>
      <c r="AJ29" s="100">
        <f t="shared" si="97"/>
        <v>852</v>
      </c>
      <c r="AK29" s="100">
        <f t="shared" si="97"/>
        <v>593</v>
      </c>
      <c r="AL29" s="100">
        <f t="shared" ref="AL29" si="98">SUM(AL24:AL28)</f>
        <v>0</v>
      </c>
      <c r="AM29" s="100">
        <f t="shared" ref="AM29" si="99">SUM(AM24:AM28)</f>
        <v>0</v>
      </c>
      <c r="AN29" s="100">
        <f t="shared" ref="AN29" si="100">SUM(AN24:AN28)</f>
        <v>0</v>
      </c>
      <c r="AO29" s="100">
        <f t="shared" ref="AO29" si="101">SUM(AO24:AO28)</f>
        <v>0</v>
      </c>
      <c r="AP29" s="100">
        <f t="shared" ref="AP29" si="102">SUM(AP24:AP28)</f>
        <v>0</v>
      </c>
      <c r="AQ29" s="100">
        <f t="shared" ref="AQ29" si="103">SUM(AQ24:AQ28)</f>
        <v>0</v>
      </c>
      <c r="AR29" s="100">
        <f t="shared" ref="AR29" si="104">SUM(AR24:AR28)</f>
        <v>0</v>
      </c>
      <c r="AS29" s="200">
        <f t="shared" ref="AS29" si="105">SUM(AS24:AS28)</f>
        <v>0</v>
      </c>
      <c r="AT29" s="165">
        <f>SUM(AT24:AT28)</f>
        <v>-120</v>
      </c>
      <c r="AU29" s="100">
        <f t="shared" ref="AU29" si="106">SUM(AU24:AU28)</f>
        <v>-171</v>
      </c>
      <c r="AV29" s="100">
        <f t="shared" ref="AV29" si="107">SUM(AV24:AV28)</f>
        <v>-362</v>
      </c>
      <c r="AW29" s="100">
        <f t="shared" ref="AW29" si="108">SUM(AW24:AW28)</f>
        <v>-555</v>
      </c>
      <c r="AX29" s="100">
        <f t="shared" ref="AX29" si="109">SUM(AX24:AX28)</f>
        <v>520</v>
      </c>
      <c r="AY29" s="100">
        <f t="shared" ref="AY29" si="110">SUM(AY24:AY28)</f>
        <v>66</v>
      </c>
      <c r="AZ29" s="100">
        <f t="shared" ref="AZ29" si="111">SUM(AZ24:AZ28)</f>
        <v>496</v>
      </c>
      <c r="BA29" s="100">
        <f t="shared" ref="BA29" si="112">SUM(BA24:BA28)</f>
        <v>519</v>
      </c>
      <c r="BB29" s="100">
        <f t="shared" ref="BB29" si="113">SUM(BB24:BB28)</f>
        <v>64</v>
      </c>
      <c r="BC29" s="100">
        <f t="shared" ref="BC29" si="114">SUM(BC24:BC28)</f>
        <v>483</v>
      </c>
      <c r="BD29" s="100">
        <f t="shared" ref="BD29" si="115">SUM(BD24:BD28)</f>
        <v>70</v>
      </c>
      <c r="BE29" s="200">
        <f t="shared" ref="BE29" si="116">SUM(BE24:BE28)</f>
        <v>465</v>
      </c>
      <c r="BF29" s="165">
        <f>SUM(BF24:BF28)</f>
        <v>0</v>
      </c>
      <c r="BG29" s="100">
        <f t="shared" ref="BG29:BQ29" si="117">SUM(BG24:BG28)</f>
        <v>0</v>
      </c>
      <c r="BH29" s="100">
        <f t="shared" si="117"/>
        <v>0</v>
      </c>
      <c r="BI29" s="100">
        <f t="shared" si="117"/>
        <v>0</v>
      </c>
      <c r="BJ29" s="100">
        <f t="shared" si="117"/>
        <v>0</v>
      </c>
      <c r="BK29" s="100">
        <f t="shared" si="117"/>
        <v>0</v>
      </c>
      <c r="BL29" s="100">
        <f t="shared" si="117"/>
        <v>0</v>
      </c>
      <c r="BM29" s="100">
        <f t="shared" si="117"/>
        <v>0</v>
      </c>
      <c r="BN29" s="100">
        <f t="shared" si="117"/>
        <v>0</v>
      </c>
      <c r="BO29" s="100">
        <f t="shared" si="117"/>
        <v>0</v>
      </c>
      <c r="BP29" s="100">
        <f t="shared" si="117"/>
        <v>0</v>
      </c>
      <c r="BQ29" s="200">
        <f t="shared" si="117"/>
        <v>0</v>
      </c>
      <c r="BR29" s="165">
        <f>SUM(BR24:BR28)</f>
        <v>552</v>
      </c>
      <c r="BS29" s="100">
        <f t="shared" ref="BS29:CC29" si="118">SUM(BS24:BS28)</f>
        <v>335</v>
      </c>
      <c r="BT29" s="100">
        <f t="shared" si="118"/>
        <v>852</v>
      </c>
      <c r="BU29" s="100">
        <f t="shared" si="118"/>
        <v>593</v>
      </c>
      <c r="BV29" s="100">
        <f t="shared" si="118"/>
        <v>0</v>
      </c>
      <c r="BW29" s="100">
        <f t="shared" si="118"/>
        <v>0</v>
      </c>
      <c r="BX29" s="100">
        <f t="shared" si="118"/>
        <v>0</v>
      </c>
      <c r="BY29" s="100">
        <f t="shared" si="118"/>
        <v>0</v>
      </c>
      <c r="BZ29" s="100">
        <f t="shared" si="118"/>
        <v>0</v>
      </c>
      <c r="CA29" s="100">
        <f t="shared" si="118"/>
        <v>0</v>
      </c>
      <c r="CB29" s="100">
        <f t="shared" si="118"/>
        <v>0</v>
      </c>
      <c r="CC29" s="200">
        <f t="shared" si="118"/>
        <v>0</v>
      </c>
      <c r="CD29" s="165">
        <f>SUM(CD24:CD28)</f>
        <v>0</v>
      </c>
      <c r="CE29" s="100">
        <f t="shared" ref="CE29:CM29" si="119">SUM(CE24:CE28)</f>
        <v>0</v>
      </c>
      <c r="CF29" s="100">
        <f t="shared" si="119"/>
        <v>0</v>
      </c>
      <c r="CG29" s="100">
        <f t="shared" si="119"/>
        <v>0</v>
      </c>
      <c r="CH29" s="100">
        <f t="shared" si="119"/>
        <v>0</v>
      </c>
      <c r="CI29" s="100">
        <f t="shared" si="119"/>
        <v>0</v>
      </c>
      <c r="CJ29" s="100">
        <f t="shared" si="119"/>
        <v>0</v>
      </c>
      <c r="CK29" s="100">
        <f t="shared" si="119"/>
        <v>0</v>
      </c>
      <c r="CL29" s="100">
        <f t="shared" si="119"/>
        <v>0</v>
      </c>
      <c r="CM29" s="100">
        <f t="shared" si="119"/>
        <v>0</v>
      </c>
      <c r="CN29" s="100">
        <v>537</v>
      </c>
      <c r="CO29" s="200">
        <v>4</v>
      </c>
      <c r="CP29" s="165">
        <f t="shared" si="81"/>
        <v>0</v>
      </c>
      <c r="CQ29" s="100">
        <f t="shared" si="81"/>
        <v>0</v>
      </c>
      <c r="CR29" s="100">
        <f t="shared" si="81"/>
        <v>0</v>
      </c>
      <c r="CS29" s="100">
        <f t="shared" si="81"/>
        <v>0</v>
      </c>
      <c r="CT29" s="100">
        <f t="shared" si="81"/>
        <v>0</v>
      </c>
      <c r="CU29" s="100">
        <f t="shared" si="81"/>
        <v>0</v>
      </c>
      <c r="CV29" s="100">
        <f t="shared" si="81"/>
        <v>0</v>
      </c>
      <c r="CW29" s="100">
        <f t="shared" si="81"/>
        <v>0</v>
      </c>
      <c r="CX29" s="100">
        <f t="shared" si="81"/>
        <v>0</v>
      </c>
      <c r="CY29" s="100">
        <f t="shared" si="81"/>
        <v>0</v>
      </c>
      <c r="CZ29" s="100">
        <f t="shared" si="81"/>
        <v>537</v>
      </c>
      <c r="DA29" s="200">
        <f t="shared" si="81"/>
        <v>4</v>
      </c>
      <c r="DB29" s="165">
        <f>SUM(DB24:DB28)</f>
        <v>347</v>
      </c>
      <c r="DC29" s="100">
        <f>SUM(DC24:DC28)</f>
        <v>416</v>
      </c>
      <c r="DD29" s="100">
        <f t="shared" ref="DD29:DM29" si="120">SUM(DD24:DD28)</f>
        <v>352</v>
      </c>
      <c r="DE29" s="100">
        <f t="shared" si="120"/>
        <v>335</v>
      </c>
      <c r="DF29" s="100">
        <f t="shared" si="120"/>
        <v>258</v>
      </c>
      <c r="DG29" s="100">
        <v>232</v>
      </c>
      <c r="DH29" s="100">
        <f t="shared" si="120"/>
        <v>229</v>
      </c>
      <c r="DI29" s="100">
        <f>SUM(DI24:DI28)</f>
        <v>221</v>
      </c>
      <c r="DJ29" s="100">
        <f t="shared" si="120"/>
        <v>220</v>
      </c>
      <c r="DK29" s="100">
        <f t="shared" si="120"/>
        <v>250</v>
      </c>
      <c r="DL29" s="100">
        <f t="shared" si="120"/>
        <v>230</v>
      </c>
      <c r="DM29" s="200">
        <f t="shared" si="120"/>
        <v>0</v>
      </c>
      <c r="DN29" s="165">
        <f>SUM(DN24:DN28)</f>
        <v>347</v>
      </c>
      <c r="DO29" s="100">
        <f t="shared" ref="DO29:DY29" si="121">SUM(DO24:DO28)</f>
        <v>416</v>
      </c>
      <c r="DP29" s="100">
        <f t="shared" si="121"/>
        <v>352</v>
      </c>
      <c r="DQ29" s="100">
        <f t="shared" si="121"/>
        <v>335</v>
      </c>
      <c r="DR29" s="100">
        <f t="shared" si="121"/>
        <v>258</v>
      </c>
      <c r="DS29" s="100">
        <f t="shared" si="121"/>
        <v>232</v>
      </c>
      <c r="DT29" s="100">
        <f t="shared" si="121"/>
        <v>229</v>
      </c>
      <c r="DU29" s="100" t="e">
        <f t="shared" si="121"/>
        <v>#REF!</v>
      </c>
      <c r="DV29" s="100">
        <f t="shared" si="121"/>
        <v>220</v>
      </c>
      <c r="DW29" s="100">
        <f t="shared" si="121"/>
        <v>250</v>
      </c>
      <c r="DX29" s="100">
        <f t="shared" si="121"/>
        <v>-307</v>
      </c>
      <c r="DY29" s="200">
        <f t="shared" si="121"/>
        <v>-4</v>
      </c>
    </row>
    <row r="30" spans="1:129" x14ac:dyDescent="0.25">
      <c r="A30" s="25" t="s">
        <v>21</v>
      </c>
      <c r="B30" s="165"/>
      <c r="C30" s="100"/>
      <c r="D30" s="100"/>
      <c r="E30" s="100"/>
      <c r="F30" s="100"/>
      <c r="G30" s="100"/>
      <c r="H30" s="100"/>
      <c r="I30" s="100"/>
      <c r="J30" s="100"/>
      <c r="K30" s="100"/>
      <c r="L30" s="165"/>
      <c r="M30" s="100"/>
      <c r="N30" s="100"/>
      <c r="O30" s="100"/>
      <c r="P30" s="100"/>
      <c r="Q30" s="100"/>
      <c r="R30" s="100"/>
      <c r="S30" s="100"/>
      <c r="T30" s="100"/>
      <c r="U30" s="100"/>
      <c r="V30" s="100"/>
      <c r="W30" s="100"/>
      <c r="X30" s="165"/>
      <c r="Y30" s="100"/>
      <c r="Z30" s="100"/>
      <c r="AA30" s="100"/>
      <c r="AB30" s="100"/>
      <c r="AC30" s="100"/>
      <c r="AD30" s="100"/>
      <c r="AE30" s="100"/>
      <c r="AF30" s="100"/>
      <c r="AG30" s="200"/>
      <c r="AH30" s="165"/>
      <c r="AI30" s="100"/>
      <c r="AJ30" s="100"/>
      <c r="AK30" s="100"/>
      <c r="AL30" s="100"/>
      <c r="AM30" s="100"/>
      <c r="AN30" s="100"/>
      <c r="AO30" s="100"/>
      <c r="AP30" s="100"/>
      <c r="AQ30" s="100"/>
      <c r="AR30" s="100"/>
      <c r="AS30" s="200"/>
      <c r="AT30" s="165"/>
      <c r="AU30" s="100"/>
      <c r="AV30" s="100"/>
      <c r="AW30" s="100"/>
      <c r="AX30" s="100"/>
      <c r="AY30" s="100"/>
      <c r="AZ30" s="100"/>
      <c r="BA30" s="100"/>
      <c r="BB30" s="100"/>
      <c r="BC30" s="100"/>
      <c r="BD30" s="100"/>
      <c r="BE30" s="200"/>
      <c r="BF30" s="165"/>
      <c r="BG30" s="100"/>
      <c r="BH30" s="100"/>
      <c r="BI30" s="100"/>
      <c r="BJ30" s="100"/>
      <c r="BK30" s="100"/>
      <c r="BL30" s="100"/>
      <c r="BM30" s="100"/>
      <c r="BN30" s="100"/>
      <c r="BO30" s="100"/>
      <c r="BP30" s="100"/>
      <c r="BQ30" s="200"/>
      <c r="BR30" s="165"/>
      <c r="BS30" s="100"/>
      <c r="BT30" s="100"/>
      <c r="BU30" s="100"/>
      <c r="BV30" s="100"/>
      <c r="BW30" s="100"/>
      <c r="BX30" s="100"/>
      <c r="BY30" s="100"/>
      <c r="BZ30" s="100"/>
      <c r="CA30" s="100"/>
      <c r="CB30" s="100"/>
      <c r="CC30" s="200"/>
      <c r="CD30" s="165"/>
      <c r="CE30" s="100"/>
      <c r="CF30" s="100"/>
      <c r="CG30" s="100"/>
      <c r="CH30" s="100"/>
      <c r="CI30" s="100"/>
      <c r="CJ30" s="100"/>
      <c r="CK30" s="100"/>
      <c r="CL30" s="100"/>
      <c r="CM30" s="100"/>
      <c r="CN30" s="100"/>
      <c r="CO30" s="200"/>
      <c r="CP30" s="165"/>
      <c r="CQ30" s="100"/>
      <c r="CR30" s="100"/>
      <c r="CS30" s="100"/>
      <c r="CT30" s="100"/>
      <c r="CU30" s="100"/>
      <c r="CV30" s="100"/>
      <c r="CW30" s="100"/>
      <c r="CX30" s="100"/>
      <c r="CY30" s="100"/>
      <c r="CZ30" s="100"/>
      <c r="DA30" s="200"/>
      <c r="DB30" s="165"/>
      <c r="DC30" s="100"/>
      <c r="DD30" s="100"/>
      <c r="DE30" s="100"/>
      <c r="DF30" s="100"/>
      <c r="DG30" s="100"/>
      <c r="DH30" s="100"/>
      <c r="DI30" s="100"/>
      <c r="DJ30" s="100"/>
      <c r="DK30" s="100"/>
      <c r="DL30" s="100"/>
      <c r="DM30" s="200"/>
      <c r="DN30" s="165"/>
      <c r="DO30" s="100"/>
      <c r="DP30" s="100"/>
      <c r="DQ30" s="100"/>
      <c r="DR30" s="100"/>
      <c r="DS30" s="100"/>
      <c r="DT30" s="100"/>
      <c r="DU30" s="100"/>
      <c r="DV30" s="100"/>
      <c r="DW30" s="100"/>
      <c r="DX30" s="100"/>
      <c r="DY30" s="200"/>
    </row>
    <row r="31" spans="1:129" x14ac:dyDescent="0.25">
      <c r="A31" s="19" t="s">
        <v>34</v>
      </c>
      <c r="B31" s="165">
        <v>70</v>
      </c>
      <c r="C31" s="100">
        <v>257</v>
      </c>
      <c r="D31" s="100">
        <v>266</v>
      </c>
      <c r="E31" s="100">
        <v>250</v>
      </c>
      <c r="F31" s="100">
        <v>198</v>
      </c>
      <c r="G31" s="100">
        <v>180</v>
      </c>
      <c r="H31" s="100">
        <v>184</v>
      </c>
      <c r="I31" s="100">
        <v>136</v>
      </c>
      <c r="J31" s="100">
        <v>133</v>
      </c>
      <c r="K31" s="100">
        <v>142</v>
      </c>
      <c r="L31" s="165">
        <v>93</v>
      </c>
      <c r="M31" s="100">
        <v>8</v>
      </c>
      <c r="N31" s="100">
        <v>6</v>
      </c>
      <c r="O31" s="100">
        <v>215</v>
      </c>
      <c r="P31" s="100">
        <v>230</v>
      </c>
      <c r="Q31" s="100">
        <v>247</v>
      </c>
      <c r="R31" s="100">
        <v>235</v>
      </c>
      <c r="S31" s="100">
        <v>246</v>
      </c>
      <c r="T31" s="100">
        <v>243</v>
      </c>
      <c r="U31" s="100">
        <v>236</v>
      </c>
      <c r="V31" s="100">
        <v>238</v>
      </c>
      <c r="W31" s="100">
        <v>216</v>
      </c>
      <c r="X31" s="165">
        <f t="shared" ref="X31:AG35" si="122">B31-N31</f>
        <v>64</v>
      </c>
      <c r="Y31" s="100">
        <f t="shared" si="122"/>
        <v>42</v>
      </c>
      <c r="Z31" s="100">
        <f t="shared" si="122"/>
        <v>36</v>
      </c>
      <c r="AA31" s="100">
        <f t="shared" si="122"/>
        <v>3</v>
      </c>
      <c r="AB31" s="100">
        <f t="shared" si="122"/>
        <v>-37</v>
      </c>
      <c r="AC31" s="100">
        <f t="shared" si="122"/>
        <v>-66</v>
      </c>
      <c r="AD31" s="100">
        <f t="shared" si="122"/>
        <v>-59</v>
      </c>
      <c r="AE31" s="100">
        <f t="shared" si="122"/>
        <v>-100</v>
      </c>
      <c r="AF31" s="100">
        <f t="shared" si="122"/>
        <v>-105</v>
      </c>
      <c r="AG31" s="200">
        <f t="shared" si="122"/>
        <v>-74</v>
      </c>
      <c r="AH31" s="165">
        <v>212</v>
      </c>
      <c r="AI31" s="100">
        <v>168</v>
      </c>
      <c r="AJ31" s="100">
        <v>148</v>
      </c>
      <c r="AK31" s="100">
        <v>63</v>
      </c>
      <c r="AL31" s="100">
        <v>0</v>
      </c>
      <c r="AM31" s="100">
        <v>0</v>
      </c>
      <c r="AN31" s="100">
        <v>0</v>
      </c>
      <c r="AO31" s="100">
        <v>0</v>
      </c>
      <c r="AP31" s="100">
        <v>0</v>
      </c>
      <c r="AQ31" s="100">
        <v>0</v>
      </c>
      <c r="AR31" s="100">
        <v>0</v>
      </c>
      <c r="AS31" s="100">
        <v>0</v>
      </c>
      <c r="AT31" s="165">
        <f>L31-AH31</f>
        <v>-119</v>
      </c>
      <c r="AU31" s="100">
        <f t="shared" ref="AU31:BE35" si="123">M31-AI31</f>
        <v>-160</v>
      </c>
      <c r="AV31" s="100">
        <f t="shared" si="123"/>
        <v>-142</v>
      </c>
      <c r="AW31" s="100">
        <f t="shared" si="123"/>
        <v>152</v>
      </c>
      <c r="AX31" s="100">
        <f t="shared" si="123"/>
        <v>230</v>
      </c>
      <c r="AY31" s="100">
        <f t="shared" si="123"/>
        <v>247</v>
      </c>
      <c r="AZ31" s="100">
        <f t="shared" si="123"/>
        <v>235</v>
      </c>
      <c r="BA31" s="100">
        <f t="shared" si="123"/>
        <v>246</v>
      </c>
      <c r="BB31" s="100">
        <f t="shared" si="123"/>
        <v>243</v>
      </c>
      <c r="BC31" s="100">
        <f t="shared" si="123"/>
        <v>236</v>
      </c>
      <c r="BD31" s="100">
        <f t="shared" si="123"/>
        <v>238</v>
      </c>
      <c r="BE31" s="200">
        <f t="shared" si="123"/>
        <v>216</v>
      </c>
      <c r="BF31" s="165">
        <v>0</v>
      </c>
      <c r="BG31" s="100">
        <v>0</v>
      </c>
      <c r="BH31" s="100">
        <v>0</v>
      </c>
      <c r="BI31" s="100">
        <v>0</v>
      </c>
      <c r="BJ31" s="100">
        <v>0</v>
      </c>
      <c r="BK31" s="100">
        <v>0</v>
      </c>
      <c r="BL31" s="100">
        <v>0</v>
      </c>
      <c r="BM31" s="100">
        <v>0</v>
      </c>
      <c r="BN31" s="100">
        <v>0</v>
      </c>
      <c r="BO31" s="100">
        <v>0</v>
      </c>
      <c r="BP31" s="100">
        <v>0</v>
      </c>
      <c r="BQ31" s="200">
        <v>0</v>
      </c>
      <c r="BR31" s="165">
        <f t="shared" ref="BR31:BR35" si="124">AH31-BF31</f>
        <v>212</v>
      </c>
      <c r="BS31" s="100">
        <f t="shared" ref="BS31:BS35" si="125">AI31-BG31</f>
        <v>168</v>
      </c>
      <c r="BT31" s="100">
        <f t="shared" ref="BT31:BT35" si="126">AJ31-BH31</f>
        <v>148</v>
      </c>
      <c r="BU31" s="100">
        <f t="shared" ref="BU31:BU35" si="127">AK31-BI31</f>
        <v>63</v>
      </c>
      <c r="BV31" s="100">
        <f t="shared" ref="BV31:BV35" si="128">AL31-BJ31</f>
        <v>0</v>
      </c>
      <c r="BW31" s="100">
        <f t="shared" ref="BW31:BW35" si="129">AM31-BK31</f>
        <v>0</v>
      </c>
      <c r="BX31" s="100">
        <f t="shared" ref="BX31:BX35" si="130">AN31-BL31</f>
        <v>0</v>
      </c>
      <c r="BY31" s="100">
        <f t="shared" ref="BY31:BY35" si="131">AO31-BM31</f>
        <v>0</v>
      </c>
      <c r="BZ31" s="100">
        <f t="shared" ref="BZ31:BZ35" si="132">AP31-BN31</f>
        <v>0</v>
      </c>
      <c r="CA31" s="100">
        <f t="shared" ref="CA31:CA35" si="133">AQ31-BO31</f>
        <v>0</v>
      </c>
      <c r="CB31" s="100">
        <f t="shared" ref="CB31:CB35" si="134">AR31-BP31</f>
        <v>0</v>
      </c>
      <c r="CC31" s="200">
        <f t="shared" ref="CC31:CC35" si="135">AS31-BQ31</f>
        <v>0</v>
      </c>
      <c r="CD31" s="165">
        <v>0</v>
      </c>
      <c r="CE31" s="100">
        <v>0</v>
      </c>
      <c r="CF31" s="100">
        <v>0</v>
      </c>
      <c r="CG31" s="100">
        <v>0</v>
      </c>
      <c r="CH31" s="100">
        <v>0</v>
      </c>
      <c r="CI31" s="100">
        <v>0</v>
      </c>
      <c r="CJ31" s="100">
        <v>0</v>
      </c>
      <c r="CK31" s="100">
        <v>0</v>
      </c>
      <c r="CL31" s="100">
        <v>0</v>
      </c>
      <c r="CM31" s="100">
        <v>0</v>
      </c>
      <c r="CN31" s="100">
        <v>0</v>
      </c>
      <c r="CO31" s="200">
        <v>295</v>
      </c>
      <c r="CP31" s="165">
        <f t="shared" ref="CP31:DA36" si="136">CD31-BF31</f>
        <v>0</v>
      </c>
      <c r="CQ31" s="100">
        <f t="shared" si="136"/>
        <v>0</v>
      </c>
      <c r="CR31" s="100">
        <f t="shared" si="136"/>
        <v>0</v>
      </c>
      <c r="CS31" s="100">
        <f t="shared" si="136"/>
        <v>0</v>
      </c>
      <c r="CT31" s="100">
        <f t="shared" si="136"/>
        <v>0</v>
      </c>
      <c r="CU31" s="100">
        <f t="shared" si="136"/>
        <v>0</v>
      </c>
      <c r="CV31" s="100">
        <f t="shared" si="136"/>
        <v>0</v>
      </c>
      <c r="CW31" s="100">
        <f t="shared" si="136"/>
        <v>0</v>
      </c>
      <c r="CX31" s="100">
        <f t="shared" si="136"/>
        <v>0</v>
      </c>
      <c r="CY31" s="100">
        <f t="shared" si="136"/>
        <v>0</v>
      </c>
      <c r="CZ31" s="100">
        <f t="shared" si="136"/>
        <v>0</v>
      </c>
      <c r="DA31" s="200">
        <f t="shared" si="136"/>
        <v>295</v>
      </c>
      <c r="DB31" s="165">
        <v>1</v>
      </c>
      <c r="DC31" s="100">
        <v>168</v>
      </c>
      <c r="DD31" s="100">
        <v>174</v>
      </c>
      <c r="DE31" s="100">
        <v>155</v>
      </c>
      <c r="DF31" s="100">
        <f>10+121</f>
        <v>131</v>
      </c>
      <c r="DG31" s="100">
        <v>82</v>
      </c>
      <c r="DH31" s="100">
        <v>81</v>
      </c>
      <c r="DI31" s="100">
        <v>78</v>
      </c>
      <c r="DJ31" s="100">
        <v>77</v>
      </c>
      <c r="DK31" s="100">
        <v>86</v>
      </c>
      <c r="DL31" s="100">
        <v>93</v>
      </c>
      <c r="DM31" s="200"/>
      <c r="DN31" s="165">
        <f>DB31-CD31</f>
        <v>1</v>
      </c>
      <c r="DO31" s="100">
        <f t="shared" ref="DO31:DY35" si="137">DC31-CE31</f>
        <v>168</v>
      </c>
      <c r="DP31" s="100">
        <f t="shared" si="137"/>
        <v>174</v>
      </c>
      <c r="DQ31" s="100">
        <f t="shared" si="137"/>
        <v>155</v>
      </c>
      <c r="DR31" s="100">
        <f t="shared" si="137"/>
        <v>131</v>
      </c>
      <c r="DS31" s="100">
        <f t="shared" si="137"/>
        <v>82</v>
      </c>
      <c r="DT31" s="100">
        <f t="shared" si="137"/>
        <v>81</v>
      </c>
      <c r="DU31" s="100">
        <f t="shared" si="137"/>
        <v>78</v>
      </c>
      <c r="DV31" s="100">
        <f t="shared" si="137"/>
        <v>77</v>
      </c>
      <c r="DW31" s="100">
        <f t="shared" si="137"/>
        <v>86</v>
      </c>
      <c r="DX31" s="100">
        <f t="shared" si="137"/>
        <v>93</v>
      </c>
      <c r="DY31" s="200">
        <f t="shared" si="137"/>
        <v>-295</v>
      </c>
    </row>
    <row r="32" spans="1:129" x14ac:dyDescent="0.25">
      <c r="A32" s="19" t="s">
        <v>35</v>
      </c>
      <c r="B32" s="165">
        <v>12</v>
      </c>
      <c r="C32" s="100">
        <v>25</v>
      </c>
      <c r="D32" s="100">
        <v>26</v>
      </c>
      <c r="E32" s="100">
        <v>35</v>
      </c>
      <c r="F32" s="100">
        <v>42</v>
      </c>
      <c r="G32" s="100">
        <v>40</v>
      </c>
      <c r="H32" s="100">
        <v>44</v>
      </c>
      <c r="I32" s="100">
        <v>39</v>
      </c>
      <c r="J32" s="100">
        <v>27</v>
      </c>
      <c r="K32" s="100">
        <v>27</v>
      </c>
      <c r="L32" s="165">
        <v>25</v>
      </c>
      <c r="M32" s="100">
        <v>0</v>
      </c>
      <c r="N32" s="100">
        <v>2</v>
      </c>
      <c r="O32" s="100">
        <v>23</v>
      </c>
      <c r="P32" s="100">
        <v>31</v>
      </c>
      <c r="Q32" s="100">
        <v>60</v>
      </c>
      <c r="R32" s="100">
        <v>61</v>
      </c>
      <c r="S32" s="100">
        <v>57</v>
      </c>
      <c r="T32" s="100">
        <v>57</v>
      </c>
      <c r="U32" s="100">
        <v>56</v>
      </c>
      <c r="V32" s="100">
        <v>49</v>
      </c>
      <c r="W32" s="100">
        <v>50</v>
      </c>
      <c r="X32" s="165">
        <f t="shared" si="122"/>
        <v>10</v>
      </c>
      <c r="Y32" s="100">
        <f t="shared" si="122"/>
        <v>2</v>
      </c>
      <c r="Z32" s="100">
        <f t="shared" si="122"/>
        <v>-5</v>
      </c>
      <c r="AA32" s="100">
        <f t="shared" si="122"/>
        <v>-25</v>
      </c>
      <c r="AB32" s="100">
        <f t="shared" si="122"/>
        <v>-19</v>
      </c>
      <c r="AC32" s="100">
        <f t="shared" si="122"/>
        <v>-17</v>
      </c>
      <c r="AD32" s="100">
        <f t="shared" si="122"/>
        <v>-13</v>
      </c>
      <c r="AE32" s="100">
        <f t="shared" si="122"/>
        <v>-17</v>
      </c>
      <c r="AF32" s="100">
        <f t="shared" si="122"/>
        <v>-22</v>
      </c>
      <c r="AG32" s="200">
        <f t="shared" si="122"/>
        <v>-23</v>
      </c>
      <c r="AH32" s="165">
        <v>64</v>
      </c>
      <c r="AI32" s="100">
        <v>62</v>
      </c>
      <c r="AJ32" s="100">
        <v>51</v>
      </c>
      <c r="AK32" s="100">
        <v>84</v>
      </c>
      <c r="AL32" s="100">
        <v>0</v>
      </c>
      <c r="AM32" s="100">
        <v>0</v>
      </c>
      <c r="AN32" s="100">
        <v>0</v>
      </c>
      <c r="AO32" s="100">
        <v>0</v>
      </c>
      <c r="AP32" s="100">
        <v>0</v>
      </c>
      <c r="AQ32" s="100">
        <v>0</v>
      </c>
      <c r="AR32" s="100">
        <v>0</v>
      </c>
      <c r="AS32" s="200">
        <v>0</v>
      </c>
      <c r="AT32" s="165">
        <f t="shared" ref="AT32:AT35" si="138">L32-AH32</f>
        <v>-39</v>
      </c>
      <c r="AU32" s="100">
        <f t="shared" si="123"/>
        <v>-62</v>
      </c>
      <c r="AV32" s="100">
        <f t="shared" si="123"/>
        <v>-49</v>
      </c>
      <c r="AW32" s="100">
        <f t="shared" si="123"/>
        <v>-61</v>
      </c>
      <c r="AX32" s="100">
        <f t="shared" si="123"/>
        <v>31</v>
      </c>
      <c r="AY32" s="100">
        <f t="shared" si="123"/>
        <v>60</v>
      </c>
      <c r="AZ32" s="100">
        <f t="shared" si="123"/>
        <v>61</v>
      </c>
      <c r="BA32" s="100">
        <f t="shared" si="123"/>
        <v>57</v>
      </c>
      <c r="BB32" s="100">
        <f t="shared" si="123"/>
        <v>57</v>
      </c>
      <c r="BC32" s="100">
        <f t="shared" si="123"/>
        <v>56</v>
      </c>
      <c r="BD32" s="100">
        <f t="shared" si="123"/>
        <v>49</v>
      </c>
      <c r="BE32" s="200">
        <f t="shared" si="123"/>
        <v>50</v>
      </c>
      <c r="BF32" s="165">
        <v>0</v>
      </c>
      <c r="BG32" s="100">
        <v>0</v>
      </c>
      <c r="BH32" s="100">
        <v>0</v>
      </c>
      <c r="BI32" s="100">
        <v>0</v>
      </c>
      <c r="BJ32" s="100">
        <v>0</v>
      </c>
      <c r="BK32" s="100">
        <v>0</v>
      </c>
      <c r="BL32" s="100">
        <v>0</v>
      </c>
      <c r="BM32" s="100">
        <v>0</v>
      </c>
      <c r="BN32" s="100">
        <v>0</v>
      </c>
      <c r="BO32" s="100">
        <v>0</v>
      </c>
      <c r="BP32" s="100">
        <v>0</v>
      </c>
      <c r="BQ32" s="200">
        <v>0</v>
      </c>
      <c r="BR32" s="165">
        <f t="shared" si="124"/>
        <v>64</v>
      </c>
      <c r="BS32" s="100">
        <f t="shared" si="125"/>
        <v>62</v>
      </c>
      <c r="BT32" s="100">
        <f t="shared" si="126"/>
        <v>51</v>
      </c>
      <c r="BU32" s="100">
        <f t="shared" si="127"/>
        <v>84</v>
      </c>
      <c r="BV32" s="100">
        <f t="shared" si="128"/>
        <v>0</v>
      </c>
      <c r="BW32" s="100">
        <f t="shared" si="129"/>
        <v>0</v>
      </c>
      <c r="BX32" s="100">
        <f t="shared" si="130"/>
        <v>0</v>
      </c>
      <c r="BY32" s="100">
        <f t="shared" si="131"/>
        <v>0</v>
      </c>
      <c r="BZ32" s="100">
        <f t="shared" si="132"/>
        <v>0</v>
      </c>
      <c r="CA32" s="100">
        <f t="shared" si="133"/>
        <v>0</v>
      </c>
      <c r="CB32" s="100">
        <f t="shared" si="134"/>
        <v>0</v>
      </c>
      <c r="CC32" s="200">
        <f t="shared" si="135"/>
        <v>0</v>
      </c>
      <c r="CD32" s="165">
        <v>0</v>
      </c>
      <c r="CE32" s="100">
        <v>0</v>
      </c>
      <c r="CF32" s="100">
        <v>0</v>
      </c>
      <c r="CG32" s="100">
        <v>0</v>
      </c>
      <c r="CH32" s="100">
        <v>0</v>
      </c>
      <c r="CI32" s="100">
        <v>0</v>
      </c>
      <c r="CJ32" s="100">
        <v>0</v>
      </c>
      <c r="CK32" s="100">
        <v>0</v>
      </c>
      <c r="CL32" s="100">
        <v>0</v>
      </c>
      <c r="CM32" s="100">
        <v>0</v>
      </c>
      <c r="CN32" s="100">
        <v>0</v>
      </c>
      <c r="CO32" s="200">
        <v>31</v>
      </c>
      <c r="CP32" s="165">
        <f t="shared" si="136"/>
        <v>0</v>
      </c>
      <c r="CQ32" s="100">
        <f t="shared" si="136"/>
        <v>0</v>
      </c>
      <c r="CR32" s="100">
        <f t="shared" si="136"/>
        <v>0</v>
      </c>
      <c r="CS32" s="100">
        <f t="shared" si="136"/>
        <v>0</v>
      </c>
      <c r="CT32" s="100">
        <f t="shared" si="136"/>
        <v>0</v>
      </c>
      <c r="CU32" s="100">
        <f t="shared" si="136"/>
        <v>0</v>
      </c>
      <c r="CV32" s="100">
        <f t="shared" si="136"/>
        <v>0</v>
      </c>
      <c r="CW32" s="100">
        <f t="shared" si="136"/>
        <v>0</v>
      </c>
      <c r="CX32" s="100">
        <f t="shared" si="136"/>
        <v>0</v>
      </c>
      <c r="CY32" s="100">
        <f t="shared" si="136"/>
        <v>0</v>
      </c>
      <c r="CZ32" s="100">
        <f t="shared" si="136"/>
        <v>0</v>
      </c>
      <c r="DA32" s="200">
        <f t="shared" si="136"/>
        <v>31</v>
      </c>
      <c r="DB32" s="165">
        <v>0</v>
      </c>
      <c r="DC32" s="100">
        <v>51</v>
      </c>
      <c r="DD32" s="100">
        <v>62</v>
      </c>
      <c r="DE32" s="100">
        <v>69</v>
      </c>
      <c r="DF32" s="100">
        <f>2+64</f>
        <v>66</v>
      </c>
      <c r="DG32" s="100">
        <v>47</v>
      </c>
      <c r="DH32" s="100">
        <v>43</v>
      </c>
      <c r="DI32" s="100">
        <v>32</v>
      </c>
      <c r="DJ32" s="100">
        <v>39</v>
      </c>
      <c r="DK32" s="100">
        <v>33</v>
      </c>
      <c r="DL32" s="100">
        <v>31</v>
      </c>
      <c r="DM32" s="200"/>
      <c r="DN32" s="165">
        <f t="shared" ref="DN32:DN35" si="139">DB32-CD32</f>
        <v>0</v>
      </c>
      <c r="DO32" s="100">
        <f t="shared" si="137"/>
        <v>51</v>
      </c>
      <c r="DP32" s="100">
        <f t="shared" si="137"/>
        <v>62</v>
      </c>
      <c r="DQ32" s="100">
        <f t="shared" si="137"/>
        <v>69</v>
      </c>
      <c r="DR32" s="100">
        <f t="shared" si="137"/>
        <v>66</v>
      </c>
      <c r="DS32" s="100">
        <f t="shared" si="137"/>
        <v>47</v>
      </c>
      <c r="DT32" s="100">
        <f t="shared" si="137"/>
        <v>43</v>
      </c>
      <c r="DU32" s="100">
        <f t="shared" si="137"/>
        <v>32</v>
      </c>
      <c r="DV32" s="100">
        <f t="shared" si="137"/>
        <v>39</v>
      </c>
      <c r="DW32" s="100">
        <f t="shared" si="137"/>
        <v>33</v>
      </c>
      <c r="DX32" s="100">
        <f t="shared" si="137"/>
        <v>31</v>
      </c>
      <c r="DY32" s="200">
        <f t="shared" si="137"/>
        <v>-31</v>
      </c>
    </row>
    <row r="33" spans="1:129" x14ac:dyDescent="0.25">
      <c r="A33" s="19" t="s">
        <v>36</v>
      </c>
      <c r="B33" s="165">
        <v>4</v>
      </c>
      <c r="C33" s="100">
        <v>13</v>
      </c>
      <c r="D33" s="100">
        <v>9</v>
      </c>
      <c r="E33" s="100">
        <v>13</v>
      </c>
      <c r="F33" s="100">
        <v>8</v>
      </c>
      <c r="G33" s="100">
        <v>13</v>
      </c>
      <c r="H33" s="100">
        <v>11</v>
      </c>
      <c r="I33" s="100">
        <v>14</v>
      </c>
      <c r="J33" s="100">
        <v>14</v>
      </c>
      <c r="K33" s="100">
        <v>12</v>
      </c>
      <c r="L33" s="165">
        <v>6</v>
      </c>
      <c r="M33" s="100">
        <v>2</v>
      </c>
      <c r="N33" s="100">
        <v>7</v>
      </c>
      <c r="O33" s="100">
        <v>20</v>
      </c>
      <c r="P33" s="100">
        <v>26</v>
      </c>
      <c r="Q33" s="100">
        <v>23</v>
      </c>
      <c r="R33" s="100">
        <v>18</v>
      </c>
      <c r="S33" s="100">
        <v>21</v>
      </c>
      <c r="T33" s="100">
        <v>17</v>
      </c>
      <c r="U33" s="100">
        <v>15</v>
      </c>
      <c r="V33" s="100">
        <v>16</v>
      </c>
      <c r="W33" s="100">
        <v>12</v>
      </c>
      <c r="X33" s="165">
        <f t="shared" si="122"/>
        <v>-3</v>
      </c>
      <c r="Y33" s="100">
        <f t="shared" si="122"/>
        <v>-7</v>
      </c>
      <c r="Z33" s="100">
        <f t="shared" si="122"/>
        <v>-17</v>
      </c>
      <c r="AA33" s="100">
        <f t="shared" si="122"/>
        <v>-10</v>
      </c>
      <c r="AB33" s="100">
        <f t="shared" si="122"/>
        <v>-10</v>
      </c>
      <c r="AC33" s="100">
        <f t="shared" si="122"/>
        <v>-8</v>
      </c>
      <c r="AD33" s="100">
        <f t="shared" si="122"/>
        <v>-6</v>
      </c>
      <c r="AE33" s="100">
        <f t="shared" si="122"/>
        <v>-1</v>
      </c>
      <c r="AF33" s="100">
        <f t="shared" si="122"/>
        <v>-2</v>
      </c>
      <c r="AG33" s="200">
        <f t="shared" si="122"/>
        <v>0</v>
      </c>
      <c r="AH33" s="165">
        <v>15</v>
      </c>
      <c r="AI33" s="100">
        <v>15</v>
      </c>
      <c r="AJ33" s="100">
        <v>10</v>
      </c>
      <c r="AK33" s="100">
        <v>53</v>
      </c>
      <c r="AL33" s="100">
        <v>0</v>
      </c>
      <c r="AM33" s="100">
        <v>0</v>
      </c>
      <c r="AN33" s="100">
        <v>0</v>
      </c>
      <c r="AO33" s="100">
        <v>0</v>
      </c>
      <c r="AP33" s="100">
        <v>0</v>
      </c>
      <c r="AQ33" s="100">
        <v>0</v>
      </c>
      <c r="AR33" s="100">
        <v>0</v>
      </c>
      <c r="AS33" s="100">
        <v>0</v>
      </c>
      <c r="AT33" s="165">
        <f t="shared" si="138"/>
        <v>-9</v>
      </c>
      <c r="AU33" s="100">
        <f t="shared" si="123"/>
        <v>-13</v>
      </c>
      <c r="AV33" s="100">
        <f t="shared" si="123"/>
        <v>-3</v>
      </c>
      <c r="AW33" s="100">
        <f t="shared" si="123"/>
        <v>-33</v>
      </c>
      <c r="AX33" s="100">
        <f t="shared" si="123"/>
        <v>26</v>
      </c>
      <c r="AY33" s="100">
        <f t="shared" si="123"/>
        <v>23</v>
      </c>
      <c r="AZ33" s="100">
        <f t="shared" si="123"/>
        <v>18</v>
      </c>
      <c r="BA33" s="100">
        <f t="shared" si="123"/>
        <v>21</v>
      </c>
      <c r="BB33" s="100">
        <f t="shared" si="123"/>
        <v>17</v>
      </c>
      <c r="BC33" s="100">
        <f t="shared" si="123"/>
        <v>15</v>
      </c>
      <c r="BD33" s="100">
        <f t="shared" si="123"/>
        <v>16</v>
      </c>
      <c r="BE33" s="200">
        <f t="shared" si="123"/>
        <v>12</v>
      </c>
      <c r="BF33" s="165">
        <v>0</v>
      </c>
      <c r="BG33" s="100">
        <v>0</v>
      </c>
      <c r="BH33" s="100">
        <v>0</v>
      </c>
      <c r="BI33" s="100">
        <v>0</v>
      </c>
      <c r="BJ33" s="100">
        <v>0</v>
      </c>
      <c r="BK33" s="100">
        <v>0</v>
      </c>
      <c r="BL33" s="100">
        <v>0</v>
      </c>
      <c r="BM33" s="100">
        <v>0</v>
      </c>
      <c r="BN33" s="100">
        <v>0</v>
      </c>
      <c r="BO33" s="100">
        <v>0</v>
      </c>
      <c r="BP33" s="100">
        <v>0</v>
      </c>
      <c r="BQ33" s="200">
        <v>0</v>
      </c>
      <c r="BR33" s="165">
        <f t="shared" si="124"/>
        <v>15</v>
      </c>
      <c r="BS33" s="100">
        <f t="shared" si="125"/>
        <v>15</v>
      </c>
      <c r="BT33" s="100">
        <f t="shared" si="126"/>
        <v>10</v>
      </c>
      <c r="BU33" s="100">
        <f t="shared" si="127"/>
        <v>53</v>
      </c>
      <c r="BV33" s="100">
        <f t="shared" si="128"/>
        <v>0</v>
      </c>
      <c r="BW33" s="100">
        <f t="shared" si="129"/>
        <v>0</v>
      </c>
      <c r="BX33" s="100">
        <f t="shared" si="130"/>
        <v>0</v>
      </c>
      <c r="BY33" s="100">
        <f t="shared" si="131"/>
        <v>0</v>
      </c>
      <c r="BZ33" s="100">
        <f t="shared" si="132"/>
        <v>0</v>
      </c>
      <c r="CA33" s="100">
        <f t="shared" si="133"/>
        <v>0</v>
      </c>
      <c r="CB33" s="100">
        <f t="shared" si="134"/>
        <v>0</v>
      </c>
      <c r="CC33" s="200">
        <f t="shared" si="135"/>
        <v>0</v>
      </c>
      <c r="CD33" s="165">
        <v>0</v>
      </c>
      <c r="CE33" s="100">
        <v>0</v>
      </c>
      <c r="CF33" s="100">
        <v>0</v>
      </c>
      <c r="CG33" s="100">
        <v>0</v>
      </c>
      <c r="CH33" s="100">
        <v>0</v>
      </c>
      <c r="CI33" s="100">
        <v>0</v>
      </c>
      <c r="CJ33" s="100">
        <v>0</v>
      </c>
      <c r="CK33" s="100">
        <v>0</v>
      </c>
      <c r="CL33" s="100">
        <v>0</v>
      </c>
      <c r="CM33" s="100">
        <v>0</v>
      </c>
      <c r="CN33" s="100">
        <v>0</v>
      </c>
      <c r="CO33" s="200">
        <v>22</v>
      </c>
      <c r="CP33" s="165">
        <f t="shared" si="136"/>
        <v>0</v>
      </c>
      <c r="CQ33" s="100">
        <f t="shared" si="136"/>
        <v>0</v>
      </c>
      <c r="CR33" s="100">
        <f t="shared" si="136"/>
        <v>0</v>
      </c>
      <c r="CS33" s="100">
        <f t="shared" si="136"/>
        <v>0</v>
      </c>
      <c r="CT33" s="100">
        <f t="shared" si="136"/>
        <v>0</v>
      </c>
      <c r="CU33" s="100">
        <f t="shared" si="136"/>
        <v>0</v>
      </c>
      <c r="CV33" s="100">
        <f t="shared" si="136"/>
        <v>0</v>
      </c>
      <c r="CW33" s="100">
        <f t="shared" si="136"/>
        <v>0</v>
      </c>
      <c r="CX33" s="100">
        <f t="shared" si="136"/>
        <v>0</v>
      </c>
      <c r="CY33" s="100">
        <f t="shared" si="136"/>
        <v>0</v>
      </c>
      <c r="CZ33" s="100">
        <f t="shared" si="136"/>
        <v>0</v>
      </c>
      <c r="DA33" s="200">
        <f t="shared" si="136"/>
        <v>22</v>
      </c>
      <c r="DB33" s="165">
        <v>0</v>
      </c>
      <c r="DC33" s="100">
        <v>21</v>
      </c>
      <c r="DD33" s="100">
        <v>19</v>
      </c>
      <c r="DE33" s="100">
        <v>11</v>
      </c>
      <c r="DF33" s="100">
        <f>6+2</f>
        <v>8</v>
      </c>
      <c r="DG33" s="100">
        <v>11</v>
      </c>
      <c r="DH33" s="100">
        <v>16</v>
      </c>
      <c r="DI33" s="100">
        <v>18</v>
      </c>
      <c r="DJ33" s="100">
        <v>18</v>
      </c>
      <c r="DK33" s="100">
        <v>17</v>
      </c>
      <c r="DL33" s="100">
        <v>22</v>
      </c>
      <c r="DM33" s="200"/>
      <c r="DN33" s="165">
        <f t="shared" si="139"/>
        <v>0</v>
      </c>
      <c r="DO33" s="100">
        <f t="shared" si="137"/>
        <v>21</v>
      </c>
      <c r="DP33" s="100">
        <f t="shared" si="137"/>
        <v>19</v>
      </c>
      <c r="DQ33" s="100">
        <f t="shared" si="137"/>
        <v>11</v>
      </c>
      <c r="DR33" s="100">
        <f t="shared" si="137"/>
        <v>8</v>
      </c>
      <c r="DS33" s="100">
        <f t="shared" si="137"/>
        <v>11</v>
      </c>
      <c r="DT33" s="100">
        <f t="shared" si="137"/>
        <v>16</v>
      </c>
      <c r="DU33" s="100">
        <f t="shared" si="137"/>
        <v>18</v>
      </c>
      <c r="DV33" s="100">
        <f t="shared" si="137"/>
        <v>18</v>
      </c>
      <c r="DW33" s="100">
        <f t="shared" si="137"/>
        <v>17</v>
      </c>
      <c r="DX33" s="100">
        <f t="shared" si="137"/>
        <v>22</v>
      </c>
      <c r="DY33" s="200">
        <f t="shared" si="137"/>
        <v>-22</v>
      </c>
    </row>
    <row r="34" spans="1:129" x14ac:dyDescent="0.25">
      <c r="A34" s="19" t="s">
        <v>37</v>
      </c>
      <c r="B34" s="165">
        <v>0</v>
      </c>
      <c r="C34" s="100">
        <v>0</v>
      </c>
      <c r="D34" s="100">
        <v>0</v>
      </c>
      <c r="E34" s="100">
        <v>0</v>
      </c>
      <c r="F34" s="100">
        <v>0</v>
      </c>
      <c r="G34" s="100">
        <v>0</v>
      </c>
      <c r="H34" s="100">
        <v>0</v>
      </c>
      <c r="I34" s="100">
        <v>0</v>
      </c>
      <c r="J34" s="100">
        <v>0</v>
      </c>
      <c r="K34" s="100">
        <v>0</v>
      </c>
      <c r="L34" s="165">
        <v>0</v>
      </c>
      <c r="M34" s="100">
        <v>0</v>
      </c>
      <c r="N34" s="100">
        <v>0</v>
      </c>
      <c r="O34" s="100">
        <v>0</v>
      </c>
      <c r="P34" s="100">
        <v>0</v>
      </c>
      <c r="Q34" s="100">
        <v>0</v>
      </c>
      <c r="R34" s="100">
        <v>0</v>
      </c>
      <c r="S34" s="100">
        <v>0</v>
      </c>
      <c r="T34" s="100">
        <v>0</v>
      </c>
      <c r="U34" s="100">
        <v>0</v>
      </c>
      <c r="V34" s="100">
        <v>0</v>
      </c>
      <c r="W34" s="100">
        <v>0</v>
      </c>
      <c r="X34" s="165">
        <f t="shared" si="122"/>
        <v>0</v>
      </c>
      <c r="Y34" s="100">
        <f t="shared" si="122"/>
        <v>0</v>
      </c>
      <c r="Z34" s="100">
        <f t="shared" si="122"/>
        <v>0</v>
      </c>
      <c r="AA34" s="100">
        <f t="shared" si="122"/>
        <v>0</v>
      </c>
      <c r="AB34" s="100">
        <f t="shared" si="122"/>
        <v>0</v>
      </c>
      <c r="AC34" s="100">
        <f t="shared" si="122"/>
        <v>0</v>
      </c>
      <c r="AD34" s="100">
        <f t="shared" si="122"/>
        <v>0</v>
      </c>
      <c r="AE34" s="100">
        <f t="shared" si="122"/>
        <v>0</v>
      </c>
      <c r="AF34" s="100">
        <f t="shared" si="122"/>
        <v>0</v>
      </c>
      <c r="AG34" s="200">
        <f t="shared" si="122"/>
        <v>0</v>
      </c>
      <c r="AH34" s="165">
        <v>0</v>
      </c>
      <c r="AI34" s="100">
        <v>0</v>
      </c>
      <c r="AJ34" s="100">
        <v>0</v>
      </c>
      <c r="AK34" s="100">
        <v>0</v>
      </c>
      <c r="AL34" s="100">
        <v>0</v>
      </c>
      <c r="AM34" s="100">
        <v>0</v>
      </c>
      <c r="AN34" s="100">
        <v>0</v>
      </c>
      <c r="AO34" s="100">
        <v>0</v>
      </c>
      <c r="AP34" s="100">
        <v>0</v>
      </c>
      <c r="AQ34" s="100">
        <v>0</v>
      </c>
      <c r="AR34" s="100">
        <v>0</v>
      </c>
      <c r="AS34" s="200">
        <v>0</v>
      </c>
      <c r="AT34" s="165">
        <f t="shared" si="138"/>
        <v>0</v>
      </c>
      <c r="AU34" s="100">
        <f t="shared" si="123"/>
        <v>0</v>
      </c>
      <c r="AV34" s="100">
        <f t="shared" si="123"/>
        <v>0</v>
      </c>
      <c r="AW34" s="100">
        <f t="shared" si="123"/>
        <v>0</v>
      </c>
      <c r="AX34" s="100">
        <f t="shared" si="123"/>
        <v>0</v>
      </c>
      <c r="AY34" s="100">
        <f t="shared" si="123"/>
        <v>0</v>
      </c>
      <c r="AZ34" s="100">
        <f t="shared" si="123"/>
        <v>0</v>
      </c>
      <c r="BA34" s="100">
        <f t="shared" si="123"/>
        <v>0</v>
      </c>
      <c r="BB34" s="100">
        <f t="shared" si="123"/>
        <v>0</v>
      </c>
      <c r="BC34" s="100">
        <f t="shared" si="123"/>
        <v>0</v>
      </c>
      <c r="BD34" s="100">
        <f t="shared" si="123"/>
        <v>0</v>
      </c>
      <c r="BE34" s="200">
        <f t="shared" si="123"/>
        <v>0</v>
      </c>
      <c r="BF34" s="165">
        <v>0</v>
      </c>
      <c r="BG34" s="100">
        <v>0</v>
      </c>
      <c r="BH34" s="100">
        <v>0</v>
      </c>
      <c r="BI34" s="100">
        <v>0</v>
      </c>
      <c r="BJ34" s="100">
        <v>0</v>
      </c>
      <c r="BK34" s="100">
        <v>0</v>
      </c>
      <c r="BL34" s="100">
        <v>0</v>
      </c>
      <c r="BM34" s="100">
        <v>0</v>
      </c>
      <c r="BN34" s="100">
        <v>0</v>
      </c>
      <c r="BO34" s="100">
        <v>0</v>
      </c>
      <c r="BP34" s="100">
        <v>0</v>
      </c>
      <c r="BQ34" s="200">
        <v>0</v>
      </c>
      <c r="BR34" s="165">
        <f t="shared" si="124"/>
        <v>0</v>
      </c>
      <c r="BS34" s="100">
        <f t="shared" si="125"/>
        <v>0</v>
      </c>
      <c r="BT34" s="100">
        <f t="shared" si="126"/>
        <v>0</v>
      </c>
      <c r="BU34" s="100">
        <f t="shared" si="127"/>
        <v>0</v>
      </c>
      <c r="BV34" s="100">
        <f t="shared" si="128"/>
        <v>0</v>
      </c>
      <c r="BW34" s="100">
        <f t="shared" si="129"/>
        <v>0</v>
      </c>
      <c r="BX34" s="100">
        <f t="shared" si="130"/>
        <v>0</v>
      </c>
      <c r="BY34" s="100">
        <f t="shared" si="131"/>
        <v>0</v>
      </c>
      <c r="BZ34" s="100">
        <f t="shared" si="132"/>
        <v>0</v>
      </c>
      <c r="CA34" s="100">
        <f t="shared" si="133"/>
        <v>0</v>
      </c>
      <c r="CB34" s="100">
        <f t="shared" si="134"/>
        <v>0</v>
      </c>
      <c r="CC34" s="200">
        <f t="shared" si="135"/>
        <v>0</v>
      </c>
      <c r="CD34" s="165">
        <v>0</v>
      </c>
      <c r="CE34" s="100">
        <v>0</v>
      </c>
      <c r="CF34" s="100">
        <v>0</v>
      </c>
      <c r="CG34" s="100">
        <v>0</v>
      </c>
      <c r="CH34" s="100">
        <v>0</v>
      </c>
      <c r="CI34" s="100">
        <v>0</v>
      </c>
      <c r="CJ34" s="100">
        <v>0</v>
      </c>
      <c r="CK34" s="100">
        <v>0</v>
      </c>
      <c r="CL34" s="100">
        <v>0</v>
      </c>
      <c r="CM34" s="100">
        <v>0</v>
      </c>
      <c r="CN34" s="100">
        <v>0</v>
      </c>
      <c r="CO34" s="200">
        <v>0</v>
      </c>
      <c r="CP34" s="165">
        <f t="shared" si="136"/>
        <v>0</v>
      </c>
      <c r="CQ34" s="100">
        <f t="shared" si="136"/>
        <v>0</v>
      </c>
      <c r="CR34" s="100">
        <f t="shared" si="136"/>
        <v>0</v>
      </c>
      <c r="CS34" s="100">
        <f t="shared" si="136"/>
        <v>0</v>
      </c>
      <c r="CT34" s="100">
        <f t="shared" si="136"/>
        <v>0</v>
      </c>
      <c r="CU34" s="100">
        <f t="shared" si="136"/>
        <v>0</v>
      </c>
      <c r="CV34" s="100">
        <f t="shared" si="136"/>
        <v>0</v>
      </c>
      <c r="CW34" s="100">
        <f t="shared" si="136"/>
        <v>0</v>
      </c>
      <c r="CX34" s="100">
        <f t="shared" si="136"/>
        <v>0</v>
      </c>
      <c r="CY34" s="100">
        <f t="shared" si="136"/>
        <v>0</v>
      </c>
      <c r="CZ34" s="100">
        <f t="shared" si="136"/>
        <v>0</v>
      </c>
      <c r="DA34" s="200">
        <f t="shared" si="136"/>
        <v>0</v>
      </c>
      <c r="DB34" s="165">
        <v>0</v>
      </c>
      <c r="DC34" s="100">
        <v>0</v>
      </c>
      <c r="DD34" s="100">
        <v>0</v>
      </c>
      <c r="DE34" s="100">
        <v>0</v>
      </c>
      <c r="DF34" s="100">
        <v>0</v>
      </c>
      <c r="DG34" s="100">
        <v>1</v>
      </c>
      <c r="DH34" s="100">
        <v>0</v>
      </c>
      <c r="DI34" s="100">
        <v>0</v>
      </c>
      <c r="DJ34" s="100">
        <v>0</v>
      </c>
      <c r="DK34" s="100">
        <v>2</v>
      </c>
      <c r="DL34" s="100">
        <v>0</v>
      </c>
      <c r="DM34" s="200"/>
      <c r="DN34" s="165">
        <f t="shared" si="139"/>
        <v>0</v>
      </c>
      <c r="DO34" s="100">
        <f t="shared" si="137"/>
        <v>0</v>
      </c>
      <c r="DP34" s="100">
        <f t="shared" si="137"/>
        <v>0</v>
      </c>
      <c r="DQ34" s="100">
        <f t="shared" si="137"/>
        <v>0</v>
      </c>
      <c r="DR34" s="100">
        <f t="shared" si="137"/>
        <v>0</v>
      </c>
      <c r="DS34" s="100">
        <f t="shared" si="137"/>
        <v>1</v>
      </c>
      <c r="DT34" s="100">
        <f t="shared" si="137"/>
        <v>0</v>
      </c>
      <c r="DU34" s="100">
        <f t="shared" si="137"/>
        <v>0</v>
      </c>
      <c r="DV34" s="100">
        <f t="shared" si="137"/>
        <v>0</v>
      </c>
      <c r="DW34" s="100">
        <f t="shared" si="137"/>
        <v>2</v>
      </c>
      <c r="DX34" s="100">
        <f t="shared" si="137"/>
        <v>0</v>
      </c>
      <c r="DY34" s="200">
        <f t="shared" si="137"/>
        <v>0</v>
      </c>
    </row>
    <row r="35" spans="1:129" x14ac:dyDescent="0.25">
      <c r="A35" s="19" t="s">
        <v>46</v>
      </c>
      <c r="B35" s="165">
        <v>0</v>
      </c>
      <c r="C35" s="100">
        <v>0</v>
      </c>
      <c r="D35" s="100">
        <v>0</v>
      </c>
      <c r="E35" s="100">
        <v>0</v>
      </c>
      <c r="F35" s="100">
        <v>0</v>
      </c>
      <c r="G35" s="100">
        <v>0</v>
      </c>
      <c r="H35" s="100">
        <v>0</v>
      </c>
      <c r="I35" s="100">
        <v>0</v>
      </c>
      <c r="J35" s="100">
        <v>0</v>
      </c>
      <c r="K35" s="100">
        <v>0</v>
      </c>
      <c r="L35" s="165">
        <v>0</v>
      </c>
      <c r="M35" s="100">
        <v>0</v>
      </c>
      <c r="N35" s="100">
        <v>0</v>
      </c>
      <c r="O35" s="100">
        <v>0</v>
      </c>
      <c r="P35" s="100">
        <v>0</v>
      </c>
      <c r="Q35" s="100">
        <v>0</v>
      </c>
      <c r="R35" s="100">
        <v>0</v>
      </c>
      <c r="S35" s="100">
        <v>0</v>
      </c>
      <c r="T35" s="100">
        <v>0</v>
      </c>
      <c r="U35" s="100">
        <v>0</v>
      </c>
      <c r="V35" s="100">
        <v>0</v>
      </c>
      <c r="W35" s="100">
        <v>0</v>
      </c>
      <c r="X35" s="165">
        <f t="shared" si="122"/>
        <v>0</v>
      </c>
      <c r="Y35" s="100">
        <f t="shared" si="122"/>
        <v>0</v>
      </c>
      <c r="Z35" s="100">
        <f t="shared" si="122"/>
        <v>0</v>
      </c>
      <c r="AA35" s="100">
        <f t="shared" si="122"/>
        <v>0</v>
      </c>
      <c r="AB35" s="100">
        <f t="shared" si="122"/>
        <v>0</v>
      </c>
      <c r="AC35" s="100">
        <f t="shared" si="122"/>
        <v>0</v>
      </c>
      <c r="AD35" s="100">
        <f t="shared" si="122"/>
        <v>0</v>
      </c>
      <c r="AE35" s="100">
        <f t="shared" si="122"/>
        <v>0</v>
      </c>
      <c r="AF35" s="100">
        <f t="shared" si="122"/>
        <v>0</v>
      </c>
      <c r="AG35" s="200">
        <f t="shared" si="122"/>
        <v>0</v>
      </c>
      <c r="AH35" s="165">
        <v>0</v>
      </c>
      <c r="AI35" s="100">
        <v>0</v>
      </c>
      <c r="AJ35" s="100">
        <v>0</v>
      </c>
      <c r="AK35" s="100">
        <v>0</v>
      </c>
      <c r="AL35" s="100">
        <v>0</v>
      </c>
      <c r="AM35" s="100">
        <v>0</v>
      </c>
      <c r="AN35" s="100">
        <v>0</v>
      </c>
      <c r="AO35" s="100">
        <v>0</v>
      </c>
      <c r="AP35" s="100">
        <v>0</v>
      </c>
      <c r="AQ35" s="100">
        <v>0</v>
      </c>
      <c r="AR35" s="100">
        <v>0</v>
      </c>
      <c r="AS35" s="200">
        <v>0</v>
      </c>
      <c r="AT35" s="165">
        <f t="shared" si="138"/>
        <v>0</v>
      </c>
      <c r="AU35" s="100">
        <f t="shared" si="123"/>
        <v>0</v>
      </c>
      <c r="AV35" s="100">
        <f t="shared" si="123"/>
        <v>0</v>
      </c>
      <c r="AW35" s="100">
        <f t="shared" si="123"/>
        <v>0</v>
      </c>
      <c r="AX35" s="100">
        <f t="shared" si="123"/>
        <v>0</v>
      </c>
      <c r="AY35" s="100">
        <f t="shared" si="123"/>
        <v>0</v>
      </c>
      <c r="AZ35" s="100">
        <f t="shared" si="123"/>
        <v>0</v>
      </c>
      <c r="BA35" s="100">
        <f t="shared" si="123"/>
        <v>0</v>
      </c>
      <c r="BB35" s="100">
        <f t="shared" si="123"/>
        <v>0</v>
      </c>
      <c r="BC35" s="100">
        <f t="shared" si="123"/>
        <v>0</v>
      </c>
      <c r="BD35" s="100">
        <f t="shared" si="123"/>
        <v>0</v>
      </c>
      <c r="BE35" s="200">
        <f t="shared" si="123"/>
        <v>0</v>
      </c>
      <c r="BF35" s="165">
        <v>0</v>
      </c>
      <c r="BG35" s="100">
        <v>0</v>
      </c>
      <c r="BH35" s="100">
        <v>0</v>
      </c>
      <c r="BI35" s="100">
        <v>0</v>
      </c>
      <c r="BJ35" s="100">
        <v>0</v>
      </c>
      <c r="BK35" s="100">
        <v>0</v>
      </c>
      <c r="BL35" s="100">
        <v>0</v>
      </c>
      <c r="BM35" s="100">
        <v>0</v>
      </c>
      <c r="BN35" s="100">
        <v>0</v>
      </c>
      <c r="BO35" s="100">
        <v>0</v>
      </c>
      <c r="BP35" s="100">
        <v>0</v>
      </c>
      <c r="BQ35" s="200">
        <v>0</v>
      </c>
      <c r="BR35" s="165">
        <f t="shared" si="124"/>
        <v>0</v>
      </c>
      <c r="BS35" s="100">
        <f t="shared" si="125"/>
        <v>0</v>
      </c>
      <c r="BT35" s="100">
        <f t="shared" si="126"/>
        <v>0</v>
      </c>
      <c r="BU35" s="100">
        <f t="shared" si="127"/>
        <v>0</v>
      </c>
      <c r="BV35" s="100">
        <f t="shared" si="128"/>
        <v>0</v>
      </c>
      <c r="BW35" s="100">
        <f t="shared" si="129"/>
        <v>0</v>
      </c>
      <c r="BX35" s="100">
        <f t="shared" si="130"/>
        <v>0</v>
      </c>
      <c r="BY35" s="100">
        <f t="shared" si="131"/>
        <v>0</v>
      </c>
      <c r="BZ35" s="100">
        <f t="shared" si="132"/>
        <v>0</v>
      </c>
      <c r="CA35" s="100">
        <f t="shared" si="133"/>
        <v>0</v>
      </c>
      <c r="CB35" s="100">
        <f t="shared" si="134"/>
        <v>0</v>
      </c>
      <c r="CC35" s="200">
        <f t="shared" si="135"/>
        <v>0</v>
      </c>
      <c r="CD35" s="165">
        <v>0</v>
      </c>
      <c r="CE35" s="100">
        <v>0</v>
      </c>
      <c r="CF35" s="100">
        <v>0</v>
      </c>
      <c r="CG35" s="100">
        <v>0</v>
      </c>
      <c r="CH35" s="100">
        <v>0</v>
      </c>
      <c r="CI35" s="100">
        <v>0</v>
      </c>
      <c r="CJ35" s="100">
        <v>0</v>
      </c>
      <c r="CK35" s="100">
        <v>0</v>
      </c>
      <c r="CL35" s="100">
        <v>0</v>
      </c>
      <c r="CM35" s="100">
        <v>0</v>
      </c>
      <c r="CN35" s="100">
        <v>0</v>
      </c>
      <c r="CO35" s="200">
        <v>0</v>
      </c>
      <c r="CP35" s="165">
        <f t="shared" si="136"/>
        <v>0</v>
      </c>
      <c r="CQ35" s="100">
        <f t="shared" si="136"/>
        <v>0</v>
      </c>
      <c r="CR35" s="100">
        <f t="shared" si="136"/>
        <v>0</v>
      </c>
      <c r="CS35" s="100">
        <f t="shared" si="136"/>
        <v>0</v>
      </c>
      <c r="CT35" s="100">
        <f t="shared" si="136"/>
        <v>0</v>
      </c>
      <c r="CU35" s="100">
        <f t="shared" si="136"/>
        <v>0</v>
      </c>
      <c r="CV35" s="100">
        <f t="shared" si="136"/>
        <v>0</v>
      </c>
      <c r="CW35" s="100">
        <f t="shared" si="136"/>
        <v>0</v>
      </c>
      <c r="CX35" s="100">
        <f t="shared" si="136"/>
        <v>0</v>
      </c>
      <c r="CY35" s="100">
        <f t="shared" si="136"/>
        <v>0</v>
      </c>
      <c r="CZ35" s="100">
        <f t="shared" si="136"/>
        <v>0</v>
      </c>
      <c r="DA35" s="200">
        <f t="shared" si="136"/>
        <v>0</v>
      </c>
      <c r="DB35" s="165">
        <v>0</v>
      </c>
      <c r="DC35" s="100">
        <v>0</v>
      </c>
      <c r="DD35" s="100">
        <v>0</v>
      </c>
      <c r="DE35" s="100">
        <v>0</v>
      </c>
      <c r="DF35" s="100">
        <v>0</v>
      </c>
      <c r="DG35" s="100">
        <v>0</v>
      </c>
      <c r="DH35" s="100">
        <v>0</v>
      </c>
      <c r="DI35" s="100">
        <v>0</v>
      </c>
      <c r="DJ35" s="100">
        <v>0</v>
      </c>
      <c r="DK35" s="100">
        <v>0</v>
      </c>
      <c r="DL35" s="100">
        <v>0</v>
      </c>
      <c r="DM35" s="200"/>
      <c r="DN35" s="165">
        <f t="shared" si="139"/>
        <v>0</v>
      </c>
      <c r="DO35" s="100">
        <f t="shared" si="137"/>
        <v>0</v>
      </c>
      <c r="DP35" s="100">
        <f t="shared" si="137"/>
        <v>0</v>
      </c>
      <c r="DQ35" s="100">
        <f t="shared" si="137"/>
        <v>0</v>
      </c>
      <c r="DR35" s="100">
        <f t="shared" si="137"/>
        <v>0</v>
      </c>
      <c r="DS35" s="100">
        <f t="shared" si="137"/>
        <v>0</v>
      </c>
      <c r="DT35" s="100">
        <f t="shared" si="137"/>
        <v>0</v>
      </c>
      <c r="DU35" s="100">
        <f t="shared" si="137"/>
        <v>0</v>
      </c>
      <c r="DV35" s="100">
        <f t="shared" si="137"/>
        <v>0</v>
      </c>
      <c r="DW35" s="100">
        <f t="shared" si="137"/>
        <v>0</v>
      </c>
      <c r="DX35" s="100">
        <f t="shared" si="137"/>
        <v>0</v>
      </c>
      <c r="DY35" s="200">
        <f t="shared" si="137"/>
        <v>0</v>
      </c>
    </row>
    <row r="36" spans="1:129" x14ac:dyDescent="0.25">
      <c r="A36" s="19" t="s">
        <v>39</v>
      </c>
      <c r="B36" s="165">
        <f>SUM(B31:B35)</f>
        <v>86</v>
      </c>
      <c r="C36" s="100">
        <f t="shared" ref="C36:K36" si="140">SUM(C31:C35)</f>
        <v>295</v>
      </c>
      <c r="D36" s="100">
        <f t="shared" si="140"/>
        <v>301</v>
      </c>
      <c r="E36" s="100">
        <f t="shared" si="140"/>
        <v>298</v>
      </c>
      <c r="F36" s="100">
        <f t="shared" si="140"/>
        <v>248</v>
      </c>
      <c r="G36" s="100">
        <f t="shared" si="140"/>
        <v>233</v>
      </c>
      <c r="H36" s="100">
        <f t="shared" si="140"/>
        <v>239</v>
      </c>
      <c r="I36" s="100">
        <f t="shared" si="140"/>
        <v>189</v>
      </c>
      <c r="J36" s="100">
        <f t="shared" si="140"/>
        <v>174</v>
      </c>
      <c r="K36" s="100">
        <f t="shared" si="140"/>
        <v>181</v>
      </c>
      <c r="L36" s="165">
        <f>SUM(L31:L35)</f>
        <v>124</v>
      </c>
      <c r="M36" s="100">
        <f t="shared" ref="M36:W36" si="141">SUM(M31:M35)</f>
        <v>10</v>
      </c>
      <c r="N36" s="100">
        <f t="shared" si="141"/>
        <v>15</v>
      </c>
      <c r="O36" s="100">
        <f t="shared" si="141"/>
        <v>258</v>
      </c>
      <c r="P36" s="100">
        <f t="shared" si="141"/>
        <v>287</v>
      </c>
      <c r="Q36" s="100">
        <f t="shared" si="141"/>
        <v>330</v>
      </c>
      <c r="R36" s="100">
        <f t="shared" si="141"/>
        <v>314</v>
      </c>
      <c r="S36" s="100">
        <f t="shared" si="141"/>
        <v>324</v>
      </c>
      <c r="T36" s="100">
        <f t="shared" si="141"/>
        <v>317</v>
      </c>
      <c r="U36" s="100">
        <f t="shared" si="141"/>
        <v>307</v>
      </c>
      <c r="V36" s="100">
        <f t="shared" si="141"/>
        <v>303</v>
      </c>
      <c r="W36" s="100">
        <f t="shared" si="141"/>
        <v>278</v>
      </c>
      <c r="X36" s="165">
        <f t="shared" ref="X36" si="142">SUM(X31:X35)</f>
        <v>71</v>
      </c>
      <c r="Y36" s="100">
        <f t="shared" ref="Y36" si="143">SUM(Y31:Y35)</f>
        <v>37</v>
      </c>
      <c r="Z36" s="100">
        <f t="shared" ref="Z36" si="144">SUM(Z31:Z35)</f>
        <v>14</v>
      </c>
      <c r="AA36" s="100">
        <f t="shared" ref="AA36" si="145">SUM(AA31:AA35)</f>
        <v>-32</v>
      </c>
      <c r="AB36" s="100">
        <f t="shared" ref="AB36" si="146">SUM(AB31:AB35)</f>
        <v>-66</v>
      </c>
      <c r="AC36" s="100">
        <f t="shared" ref="AC36" si="147">SUM(AC31:AC35)</f>
        <v>-91</v>
      </c>
      <c r="AD36" s="100">
        <f t="shared" ref="AD36" si="148">SUM(AD31:AD35)</f>
        <v>-78</v>
      </c>
      <c r="AE36" s="100">
        <f t="shared" ref="AE36" si="149">SUM(AE31:AE35)</f>
        <v>-118</v>
      </c>
      <c r="AF36" s="100">
        <f t="shared" ref="AF36" si="150">SUM(AF31:AF35)</f>
        <v>-129</v>
      </c>
      <c r="AG36" s="200">
        <f t="shared" ref="AG36" si="151">SUM(AG31:AG35)</f>
        <v>-97</v>
      </c>
      <c r="AH36" s="165">
        <f t="shared" ref="AH36:AK36" si="152">SUM(AH31:AH35)</f>
        <v>291</v>
      </c>
      <c r="AI36" s="100">
        <f t="shared" si="152"/>
        <v>245</v>
      </c>
      <c r="AJ36" s="100">
        <f t="shared" si="152"/>
        <v>209</v>
      </c>
      <c r="AK36" s="100">
        <f t="shared" si="152"/>
        <v>200</v>
      </c>
      <c r="AL36" s="100">
        <f t="shared" ref="AL36" si="153">SUM(AL31:AL35)</f>
        <v>0</v>
      </c>
      <c r="AM36" s="100">
        <f t="shared" ref="AM36" si="154">SUM(AM31:AM35)</f>
        <v>0</v>
      </c>
      <c r="AN36" s="100">
        <f t="shared" ref="AN36" si="155">SUM(AN31:AN35)</f>
        <v>0</v>
      </c>
      <c r="AO36" s="100">
        <f t="shared" ref="AO36" si="156">SUM(AO31:AO35)</f>
        <v>0</v>
      </c>
      <c r="AP36" s="100">
        <f t="shared" ref="AP36" si="157">SUM(AP31:AP35)</f>
        <v>0</v>
      </c>
      <c r="AQ36" s="100">
        <f t="shared" ref="AQ36" si="158">SUM(AQ31:AQ35)</f>
        <v>0</v>
      </c>
      <c r="AR36" s="100">
        <f t="shared" ref="AR36" si="159">SUM(AR31:AR35)</f>
        <v>0</v>
      </c>
      <c r="AS36" s="200">
        <f t="shared" ref="AS36" si="160">SUM(AS31:AS35)</f>
        <v>0</v>
      </c>
      <c r="AT36" s="165">
        <f>SUM(AT31:AT35)</f>
        <v>-167</v>
      </c>
      <c r="AU36" s="100">
        <f t="shared" ref="AU36" si="161">SUM(AU31:AU35)</f>
        <v>-235</v>
      </c>
      <c r="AV36" s="100">
        <f t="shared" ref="AV36" si="162">SUM(AV31:AV35)</f>
        <v>-194</v>
      </c>
      <c r="AW36" s="100">
        <f t="shared" ref="AW36" si="163">SUM(AW31:AW35)</f>
        <v>58</v>
      </c>
      <c r="AX36" s="100">
        <f t="shared" ref="AX36" si="164">SUM(AX31:AX35)</f>
        <v>287</v>
      </c>
      <c r="AY36" s="100">
        <f t="shared" ref="AY36" si="165">SUM(AY31:AY35)</f>
        <v>330</v>
      </c>
      <c r="AZ36" s="100">
        <f t="shared" ref="AZ36" si="166">SUM(AZ31:AZ35)</f>
        <v>314</v>
      </c>
      <c r="BA36" s="100">
        <f t="shared" ref="BA36" si="167">SUM(BA31:BA35)</f>
        <v>324</v>
      </c>
      <c r="BB36" s="100">
        <f t="shared" ref="BB36" si="168">SUM(BB31:BB35)</f>
        <v>317</v>
      </c>
      <c r="BC36" s="100">
        <f t="shared" ref="BC36" si="169">SUM(BC31:BC35)</f>
        <v>307</v>
      </c>
      <c r="BD36" s="100">
        <f t="shared" ref="BD36" si="170">SUM(BD31:BD35)</f>
        <v>303</v>
      </c>
      <c r="BE36" s="200">
        <f t="shared" ref="BE36" si="171">SUM(BE31:BE35)</f>
        <v>278</v>
      </c>
      <c r="BF36" s="165">
        <f>SUM(BF31:BF35)</f>
        <v>0</v>
      </c>
      <c r="BG36" s="100">
        <f t="shared" ref="BG36:BQ36" si="172">SUM(BG31:BG35)</f>
        <v>0</v>
      </c>
      <c r="BH36" s="100">
        <f t="shared" si="172"/>
        <v>0</v>
      </c>
      <c r="BI36" s="100">
        <f t="shared" si="172"/>
        <v>0</v>
      </c>
      <c r="BJ36" s="100">
        <f t="shared" si="172"/>
        <v>0</v>
      </c>
      <c r="BK36" s="100">
        <f t="shared" si="172"/>
        <v>0</v>
      </c>
      <c r="BL36" s="100">
        <f t="shared" si="172"/>
        <v>0</v>
      </c>
      <c r="BM36" s="100">
        <f t="shared" si="172"/>
        <v>0</v>
      </c>
      <c r="BN36" s="100">
        <f t="shared" si="172"/>
        <v>0</v>
      </c>
      <c r="BO36" s="100">
        <f t="shared" si="172"/>
        <v>0</v>
      </c>
      <c r="BP36" s="100">
        <f t="shared" si="172"/>
        <v>0</v>
      </c>
      <c r="BQ36" s="200">
        <f t="shared" si="172"/>
        <v>0</v>
      </c>
      <c r="BR36" s="165">
        <f>SUM(BR31:BR35)</f>
        <v>291</v>
      </c>
      <c r="BS36" s="100">
        <f t="shared" ref="BS36:CC36" si="173">SUM(BS31:BS35)</f>
        <v>245</v>
      </c>
      <c r="BT36" s="100">
        <f t="shared" si="173"/>
        <v>209</v>
      </c>
      <c r="BU36" s="100">
        <f t="shared" si="173"/>
        <v>200</v>
      </c>
      <c r="BV36" s="100">
        <f t="shared" si="173"/>
        <v>0</v>
      </c>
      <c r="BW36" s="100">
        <f t="shared" si="173"/>
        <v>0</v>
      </c>
      <c r="BX36" s="100">
        <f t="shared" si="173"/>
        <v>0</v>
      </c>
      <c r="BY36" s="100">
        <f t="shared" si="173"/>
        <v>0</v>
      </c>
      <c r="BZ36" s="100">
        <f t="shared" si="173"/>
        <v>0</v>
      </c>
      <c r="CA36" s="100">
        <f t="shared" si="173"/>
        <v>0</v>
      </c>
      <c r="CB36" s="100">
        <f t="shared" si="173"/>
        <v>0</v>
      </c>
      <c r="CC36" s="200">
        <f t="shared" si="173"/>
        <v>0</v>
      </c>
      <c r="CD36" s="165">
        <f>SUM(CD31:CD35)</f>
        <v>0</v>
      </c>
      <c r="CE36" s="100">
        <f t="shared" ref="CE36:CM36" si="174">SUM(CE31:CE35)</f>
        <v>0</v>
      </c>
      <c r="CF36" s="100">
        <f t="shared" si="174"/>
        <v>0</v>
      </c>
      <c r="CG36" s="100">
        <f t="shared" si="174"/>
        <v>0</v>
      </c>
      <c r="CH36" s="100">
        <f t="shared" si="174"/>
        <v>0</v>
      </c>
      <c r="CI36" s="100">
        <f t="shared" si="174"/>
        <v>0</v>
      </c>
      <c r="CJ36" s="100">
        <f t="shared" si="174"/>
        <v>0</v>
      </c>
      <c r="CK36" s="100">
        <f t="shared" si="174"/>
        <v>0</v>
      </c>
      <c r="CL36" s="100">
        <f t="shared" si="174"/>
        <v>0</v>
      </c>
      <c r="CM36" s="100">
        <f t="shared" si="174"/>
        <v>0</v>
      </c>
      <c r="CN36" s="100">
        <v>0</v>
      </c>
      <c r="CO36" s="200">
        <v>348</v>
      </c>
      <c r="CP36" s="165">
        <f t="shared" si="136"/>
        <v>0</v>
      </c>
      <c r="CQ36" s="100">
        <f t="shared" si="136"/>
        <v>0</v>
      </c>
      <c r="CR36" s="100">
        <f t="shared" si="136"/>
        <v>0</v>
      </c>
      <c r="CS36" s="100">
        <f t="shared" si="136"/>
        <v>0</v>
      </c>
      <c r="CT36" s="100">
        <f t="shared" si="136"/>
        <v>0</v>
      </c>
      <c r="CU36" s="100">
        <f t="shared" si="136"/>
        <v>0</v>
      </c>
      <c r="CV36" s="100">
        <f t="shared" si="136"/>
        <v>0</v>
      </c>
      <c r="CW36" s="100">
        <f t="shared" si="136"/>
        <v>0</v>
      </c>
      <c r="CX36" s="100">
        <f t="shared" si="136"/>
        <v>0</v>
      </c>
      <c r="CY36" s="100">
        <f t="shared" si="136"/>
        <v>0</v>
      </c>
      <c r="CZ36" s="100">
        <f t="shared" si="136"/>
        <v>0</v>
      </c>
      <c r="DA36" s="200">
        <f t="shared" si="136"/>
        <v>348</v>
      </c>
      <c r="DB36" s="165">
        <f>SUM(DB31:DB35)</f>
        <v>1</v>
      </c>
      <c r="DC36" s="100">
        <f>SUM(DC31:DC35)</f>
        <v>240</v>
      </c>
      <c r="DD36" s="100">
        <f t="shared" ref="DD36:DM36" si="175">SUM(DD31:DD35)</f>
        <v>255</v>
      </c>
      <c r="DE36" s="100">
        <f t="shared" si="175"/>
        <v>235</v>
      </c>
      <c r="DF36" s="100">
        <f t="shared" si="175"/>
        <v>205</v>
      </c>
      <c r="DG36" s="100">
        <v>141</v>
      </c>
      <c r="DH36" s="100">
        <f t="shared" si="175"/>
        <v>140</v>
      </c>
      <c r="DI36" s="100">
        <f t="shared" si="175"/>
        <v>128</v>
      </c>
      <c r="DJ36" s="100">
        <f t="shared" si="175"/>
        <v>134</v>
      </c>
      <c r="DK36" s="100">
        <f t="shared" si="175"/>
        <v>138</v>
      </c>
      <c r="DL36" s="100">
        <f t="shared" si="175"/>
        <v>146</v>
      </c>
      <c r="DM36" s="200">
        <f t="shared" si="175"/>
        <v>0</v>
      </c>
      <c r="DN36" s="165">
        <f>SUM(DN31:DN35)</f>
        <v>1</v>
      </c>
      <c r="DO36" s="100">
        <f t="shared" ref="DO36:DY36" si="176">SUM(DO31:DO35)</f>
        <v>240</v>
      </c>
      <c r="DP36" s="100">
        <f t="shared" si="176"/>
        <v>255</v>
      </c>
      <c r="DQ36" s="100">
        <f t="shared" si="176"/>
        <v>235</v>
      </c>
      <c r="DR36" s="100">
        <f t="shared" si="176"/>
        <v>205</v>
      </c>
      <c r="DS36" s="100">
        <f t="shared" si="176"/>
        <v>141</v>
      </c>
      <c r="DT36" s="100">
        <f t="shared" si="176"/>
        <v>140</v>
      </c>
      <c r="DU36" s="100">
        <f t="shared" si="176"/>
        <v>128</v>
      </c>
      <c r="DV36" s="100">
        <f t="shared" si="176"/>
        <v>134</v>
      </c>
      <c r="DW36" s="100">
        <f t="shared" si="176"/>
        <v>138</v>
      </c>
      <c r="DX36" s="100">
        <f t="shared" si="176"/>
        <v>146</v>
      </c>
      <c r="DY36" s="200">
        <f t="shared" si="176"/>
        <v>-348</v>
      </c>
    </row>
    <row r="37" spans="1:129" x14ac:dyDescent="0.25">
      <c r="A37" s="25" t="s">
        <v>22</v>
      </c>
      <c r="B37" s="165"/>
      <c r="C37" s="100"/>
      <c r="D37" s="100"/>
      <c r="E37" s="100"/>
      <c r="F37" s="100"/>
      <c r="G37" s="100"/>
      <c r="H37" s="100"/>
      <c r="I37" s="100"/>
      <c r="J37" s="100"/>
      <c r="K37" s="100"/>
      <c r="L37" s="165"/>
      <c r="M37" s="100"/>
      <c r="N37" s="100"/>
      <c r="O37" s="100"/>
      <c r="P37" s="100"/>
      <c r="Q37" s="100"/>
      <c r="R37" s="100"/>
      <c r="S37" s="100"/>
      <c r="T37" s="100"/>
      <c r="U37" s="100"/>
      <c r="V37" s="100"/>
      <c r="W37" s="100"/>
      <c r="X37" s="165"/>
      <c r="Y37" s="100"/>
      <c r="Z37" s="100"/>
      <c r="AA37" s="100"/>
      <c r="AB37" s="100"/>
      <c r="AC37" s="100"/>
      <c r="AD37" s="100"/>
      <c r="AE37" s="100"/>
      <c r="AF37" s="100"/>
      <c r="AG37" s="200"/>
      <c r="AH37" s="165"/>
      <c r="AI37" s="100"/>
      <c r="AJ37" s="100"/>
      <c r="AK37" s="100"/>
      <c r="AL37" s="100"/>
      <c r="AM37" s="100"/>
      <c r="AN37" s="100"/>
      <c r="AO37" s="100"/>
      <c r="AP37" s="100"/>
      <c r="AQ37" s="100"/>
      <c r="AR37" s="100"/>
      <c r="AS37" s="200"/>
      <c r="AT37" s="165"/>
      <c r="AU37" s="100"/>
      <c r="AV37" s="100"/>
      <c r="AW37" s="100"/>
      <c r="AX37" s="100"/>
      <c r="AY37" s="100"/>
      <c r="AZ37" s="100"/>
      <c r="BA37" s="100"/>
      <c r="BB37" s="100"/>
      <c r="BC37" s="100"/>
      <c r="BD37" s="100"/>
      <c r="BE37" s="200"/>
      <c r="BF37" s="165"/>
      <c r="BG37" s="100"/>
      <c r="BH37" s="100"/>
      <c r="BI37" s="100"/>
      <c r="BJ37" s="100"/>
      <c r="BK37" s="100"/>
      <c r="BL37" s="100"/>
      <c r="BM37" s="100"/>
      <c r="BN37" s="100"/>
      <c r="BO37" s="100"/>
      <c r="BP37" s="100"/>
      <c r="BQ37" s="200"/>
      <c r="BR37" s="165"/>
      <c r="BS37" s="100"/>
      <c r="BT37" s="100"/>
      <c r="BU37" s="100"/>
      <c r="BV37" s="100"/>
      <c r="BW37" s="100"/>
      <c r="BX37" s="100"/>
      <c r="BY37" s="100"/>
      <c r="BZ37" s="100"/>
      <c r="CA37" s="100"/>
      <c r="CB37" s="100"/>
      <c r="CC37" s="200"/>
      <c r="CD37" s="165"/>
      <c r="CE37" s="100"/>
      <c r="CF37" s="100"/>
      <c r="CG37" s="100"/>
      <c r="CH37" s="100"/>
      <c r="CI37" s="100"/>
      <c r="CJ37" s="100"/>
      <c r="CK37" s="100"/>
      <c r="CL37" s="100"/>
      <c r="CM37" s="100"/>
      <c r="CN37" s="100"/>
      <c r="CO37" s="200"/>
      <c r="CP37" s="165"/>
      <c r="CQ37" s="100"/>
      <c r="CR37" s="100"/>
      <c r="CS37" s="100"/>
      <c r="CT37" s="100"/>
      <c r="CU37" s="100"/>
      <c r="CV37" s="100"/>
      <c r="CW37" s="100"/>
      <c r="CX37" s="100"/>
      <c r="CY37" s="100"/>
      <c r="CZ37" s="100"/>
      <c r="DA37" s="200"/>
      <c r="DB37" s="165"/>
      <c r="DC37" s="100"/>
      <c r="DD37" s="100"/>
      <c r="DE37" s="100"/>
      <c r="DF37" s="100"/>
      <c r="DG37" s="100"/>
      <c r="DH37" s="100"/>
      <c r="DI37" s="100"/>
      <c r="DJ37" s="100"/>
      <c r="DK37" s="100"/>
      <c r="DL37" s="100"/>
      <c r="DM37" s="200"/>
      <c r="DN37" s="165"/>
      <c r="DO37" s="100"/>
      <c r="DP37" s="100"/>
      <c r="DQ37" s="100"/>
      <c r="DR37" s="100"/>
      <c r="DS37" s="100"/>
      <c r="DT37" s="100"/>
      <c r="DU37" s="100"/>
      <c r="DV37" s="100"/>
      <c r="DW37" s="100"/>
      <c r="DX37" s="100"/>
      <c r="DY37" s="200"/>
    </row>
    <row r="38" spans="1:129" x14ac:dyDescent="0.25">
      <c r="A38" s="19" t="s">
        <v>34</v>
      </c>
      <c r="B38" s="165">
        <v>37</v>
      </c>
      <c r="C38" s="100">
        <v>68</v>
      </c>
      <c r="D38" s="100">
        <v>145</v>
      </c>
      <c r="E38" s="100">
        <v>177</v>
      </c>
      <c r="F38" s="100">
        <v>169</v>
      </c>
      <c r="G38" s="100">
        <v>161</v>
      </c>
      <c r="H38" s="100">
        <v>162</v>
      </c>
      <c r="I38" s="100">
        <v>149</v>
      </c>
      <c r="J38" s="100">
        <v>123</v>
      </c>
      <c r="K38" s="100">
        <v>60</v>
      </c>
      <c r="L38" s="165">
        <v>43</v>
      </c>
      <c r="M38" s="100">
        <v>51</v>
      </c>
      <c r="N38" s="100">
        <v>67</v>
      </c>
      <c r="O38" s="100">
        <v>38</v>
      </c>
      <c r="P38" s="100">
        <v>234</v>
      </c>
      <c r="Q38" s="100">
        <v>291</v>
      </c>
      <c r="R38" s="100">
        <v>315</v>
      </c>
      <c r="S38" s="100">
        <v>335</v>
      </c>
      <c r="T38" s="100">
        <v>305</v>
      </c>
      <c r="U38" s="100">
        <v>323</v>
      </c>
      <c r="V38" s="100">
        <v>331</v>
      </c>
      <c r="W38" s="100">
        <v>299</v>
      </c>
      <c r="X38" s="165">
        <f t="shared" ref="X38:AG42" si="177">B38-N38</f>
        <v>-30</v>
      </c>
      <c r="Y38" s="100">
        <f t="shared" si="177"/>
        <v>30</v>
      </c>
      <c r="Z38" s="100">
        <f t="shared" si="177"/>
        <v>-89</v>
      </c>
      <c r="AA38" s="100">
        <f t="shared" si="177"/>
        <v>-114</v>
      </c>
      <c r="AB38" s="100">
        <f t="shared" si="177"/>
        <v>-146</v>
      </c>
      <c r="AC38" s="100">
        <f t="shared" si="177"/>
        <v>-174</v>
      </c>
      <c r="AD38" s="100">
        <f t="shared" si="177"/>
        <v>-143</v>
      </c>
      <c r="AE38" s="100">
        <f t="shared" si="177"/>
        <v>-174</v>
      </c>
      <c r="AF38" s="100">
        <f t="shared" si="177"/>
        <v>-208</v>
      </c>
      <c r="AG38" s="200">
        <f t="shared" si="177"/>
        <v>-239</v>
      </c>
      <c r="AH38" s="165">
        <v>287</v>
      </c>
      <c r="AI38" s="100">
        <v>242</v>
      </c>
      <c r="AJ38" s="100">
        <v>135</v>
      </c>
      <c r="AK38" s="100">
        <v>139</v>
      </c>
      <c r="AL38" s="100">
        <v>0</v>
      </c>
      <c r="AM38" s="100">
        <v>0</v>
      </c>
      <c r="AN38" s="100">
        <v>0</v>
      </c>
      <c r="AO38" s="100">
        <v>0</v>
      </c>
      <c r="AP38" s="100">
        <v>0</v>
      </c>
      <c r="AQ38" s="100">
        <v>0</v>
      </c>
      <c r="AR38" s="100">
        <v>0</v>
      </c>
      <c r="AS38" s="100">
        <v>0</v>
      </c>
      <c r="AT38" s="165">
        <f>L38-AH38</f>
        <v>-244</v>
      </c>
      <c r="AU38" s="100">
        <f t="shared" ref="AU38:BE42" si="178">M38-AI38</f>
        <v>-191</v>
      </c>
      <c r="AV38" s="100">
        <f t="shared" si="178"/>
        <v>-68</v>
      </c>
      <c r="AW38" s="100">
        <f t="shared" si="178"/>
        <v>-101</v>
      </c>
      <c r="AX38" s="100">
        <f t="shared" si="178"/>
        <v>234</v>
      </c>
      <c r="AY38" s="100">
        <f t="shared" si="178"/>
        <v>291</v>
      </c>
      <c r="AZ38" s="100">
        <f t="shared" si="178"/>
        <v>315</v>
      </c>
      <c r="BA38" s="100">
        <f t="shared" si="178"/>
        <v>335</v>
      </c>
      <c r="BB38" s="100">
        <f t="shared" si="178"/>
        <v>305</v>
      </c>
      <c r="BC38" s="100">
        <f t="shared" si="178"/>
        <v>323</v>
      </c>
      <c r="BD38" s="100">
        <f t="shared" si="178"/>
        <v>331</v>
      </c>
      <c r="BE38" s="200">
        <f t="shared" si="178"/>
        <v>299</v>
      </c>
      <c r="BF38" s="165">
        <v>0</v>
      </c>
      <c r="BG38" s="100">
        <v>0</v>
      </c>
      <c r="BH38" s="100">
        <v>0</v>
      </c>
      <c r="BI38" s="100">
        <v>0</v>
      </c>
      <c r="BJ38" s="100">
        <v>0</v>
      </c>
      <c r="BK38" s="100">
        <v>0</v>
      </c>
      <c r="BL38" s="100">
        <v>0</v>
      </c>
      <c r="BM38" s="100">
        <v>0</v>
      </c>
      <c r="BN38" s="100">
        <v>0</v>
      </c>
      <c r="BO38" s="100">
        <v>0</v>
      </c>
      <c r="BP38" s="100">
        <v>0</v>
      </c>
      <c r="BQ38" s="200">
        <v>0</v>
      </c>
      <c r="BR38" s="165">
        <f t="shared" ref="BR38:BR42" si="179">AH38-BF38</f>
        <v>287</v>
      </c>
      <c r="BS38" s="100">
        <f t="shared" ref="BS38:BS42" si="180">AI38-BG38</f>
        <v>242</v>
      </c>
      <c r="BT38" s="100">
        <f t="shared" ref="BT38:BT42" si="181">AJ38-BH38</f>
        <v>135</v>
      </c>
      <c r="BU38" s="100">
        <f t="shared" ref="BU38:BU42" si="182">AK38-BI38</f>
        <v>139</v>
      </c>
      <c r="BV38" s="100">
        <f t="shared" ref="BV38:BV42" si="183">AL38-BJ38</f>
        <v>0</v>
      </c>
      <c r="BW38" s="100">
        <f t="shared" ref="BW38:BW42" si="184">AM38-BK38</f>
        <v>0</v>
      </c>
      <c r="BX38" s="100">
        <f t="shared" ref="BX38:BX42" si="185">AN38-BL38</f>
        <v>0</v>
      </c>
      <c r="BY38" s="100">
        <f t="shared" ref="BY38:BY42" si="186">AO38-BM38</f>
        <v>0</v>
      </c>
      <c r="BZ38" s="100">
        <f t="shared" ref="BZ38:BZ42" si="187">AP38-BN38</f>
        <v>0</v>
      </c>
      <c r="CA38" s="100">
        <f t="shared" ref="CA38:CA42" si="188">AQ38-BO38</f>
        <v>0</v>
      </c>
      <c r="CB38" s="100">
        <f t="shared" ref="CB38:CB42" si="189">AR38-BP38</f>
        <v>0</v>
      </c>
      <c r="CC38" s="200">
        <f t="shared" ref="CC38:CC42" si="190">AS38-BQ38</f>
        <v>0</v>
      </c>
      <c r="CD38" s="165">
        <v>0</v>
      </c>
      <c r="CE38" s="100">
        <v>0</v>
      </c>
      <c r="CF38" s="100">
        <v>0</v>
      </c>
      <c r="CG38" s="100">
        <v>0</v>
      </c>
      <c r="CH38" s="100">
        <v>0</v>
      </c>
      <c r="CI38" s="100">
        <v>0</v>
      </c>
      <c r="CJ38" s="100">
        <v>0</v>
      </c>
      <c r="CK38" s="100">
        <v>0</v>
      </c>
      <c r="CL38" s="100">
        <v>0</v>
      </c>
      <c r="CM38" s="100">
        <v>0</v>
      </c>
      <c r="CN38" s="100">
        <v>0</v>
      </c>
      <c r="CO38" s="200">
        <v>0</v>
      </c>
      <c r="CP38" s="165">
        <f t="shared" ref="CP38:DA43" si="191">CD38-BF38</f>
        <v>0</v>
      </c>
      <c r="CQ38" s="100">
        <f t="shared" si="191"/>
        <v>0</v>
      </c>
      <c r="CR38" s="100">
        <f t="shared" si="191"/>
        <v>0</v>
      </c>
      <c r="CS38" s="100">
        <f t="shared" si="191"/>
        <v>0</v>
      </c>
      <c r="CT38" s="100">
        <f t="shared" si="191"/>
        <v>0</v>
      </c>
      <c r="CU38" s="100">
        <f t="shared" si="191"/>
        <v>0</v>
      </c>
      <c r="CV38" s="100">
        <f t="shared" si="191"/>
        <v>0</v>
      </c>
      <c r="CW38" s="100">
        <f t="shared" si="191"/>
        <v>0</v>
      </c>
      <c r="CX38" s="100">
        <f t="shared" si="191"/>
        <v>0</v>
      </c>
      <c r="CY38" s="100">
        <f t="shared" si="191"/>
        <v>0</v>
      </c>
      <c r="CZ38" s="100">
        <f t="shared" si="191"/>
        <v>0</v>
      </c>
      <c r="DA38" s="200">
        <f t="shared" si="191"/>
        <v>0</v>
      </c>
      <c r="DB38" s="165">
        <f>15+183</f>
        <v>198</v>
      </c>
      <c r="DC38" s="100">
        <v>146</v>
      </c>
      <c r="DD38" s="100">
        <v>208</v>
      </c>
      <c r="DE38" s="100">
        <v>258</v>
      </c>
      <c r="DF38" s="100">
        <f>8+9+4+84+60+35</f>
        <v>200</v>
      </c>
      <c r="DG38" s="100">
        <v>138</v>
      </c>
      <c r="DH38" s="100">
        <v>114</v>
      </c>
      <c r="DI38" s="100">
        <v>95</v>
      </c>
      <c r="DJ38" s="100">
        <v>87</v>
      </c>
      <c r="DK38" s="100">
        <v>84</v>
      </c>
      <c r="DL38" s="100">
        <v>113</v>
      </c>
      <c r="DM38" s="200"/>
      <c r="DN38" s="165">
        <f>DB38-CD38</f>
        <v>198</v>
      </c>
      <c r="DO38" s="100">
        <f t="shared" ref="DO38:DY42" si="192">DC38-CE38</f>
        <v>146</v>
      </c>
      <c r="DP38" s="100">
        <f t="shared" si="192"/>
        <v>208</v>
      </c>
      <c r="DQ38" s="100">
        <f t="shared" si="192"/>
        <v>258</v>
      </c>
      <c r="DR38" s="100">
        <f t="shared" si="192"/>
        <v>200</v>
      </c>
      <c r="DS38" s="100">
        <f t="shared" si="192"/>
        <v>138</v>
      </c>
      <c r="DT38" s="100">
        <f t="shared" si="192"/>
        <v>114</v>
      </c>
      <c r="DU38" s="100">
        <f t="shared" si="192"/>
        <v>95</v>
      </c>
      <c r="DV38" s="100">
        <f t="shared" si="192"/>
        <v>87</v>
      </c>
      <c r="DW38" s="100">
        <f t="shared" si="192"/>
        <v>84</v>
      </c>
      <c r="DX38" s="100">
        <f t="shared" si="192"/>
        <v>113</v>
      </c>
      <c r="DY38" s="200">
        <f t="shared" si="192"/>
        <v>0</v>
      </c>
    </row>
    <row r="39" spans="1:129" x14ac:dyDescent="0.25">
      <c r="A39" s="19" t="s">
        <v>35</v>
      </c>
      <c r="B39" s="165">
        <v>7</v>
      </c>
      <c r="C39" s="100">
        <v>11</v>
      </c>
      <c r="D39" s="100">
        <v>19</v>
      </c>
      <c r="E39" s="100">
        <v>20</v>
      </c>
      <c r="F39" s="100">
        <v>34</v>
      </c>
      <c r="G39" s="100">
        <v>41</v>
      </c>
      <c r="H39" s="100">
        <v>45</v>
      </c>
      <c r="I39" s="100">
        <v>51</v>
      </c>
      <c r="J39" s="100">
        <v>34</v>
      </c>
      <c r="K39" s="100">
        <v>20</v>
      </c>
      <c r="L39" s="165">
        <v>13</v>
      </c>
      <c r="M39" s="100">
        <v>15</v>
      </c>
      <c r="N39" s="100">
        <v>16</v>
      </c>
      <c r="O39" s="100">
        <v>8</v>
      </c>
      <c r="P39" s="100">
        <v>32</v>
      </c>
      <c r="Q39" s="100">
        <v>44</v>
      </c>
      <c r="R39" s="100">
        <v>77</v>
      </c>
      <c r="S39" s="100">
        <v>96</v>
      </c>
      <c r="T39" s="100">
        <v>99</v>
      </c>
      <c r="U39" s="100">
        <v>95</v>
      </c>
      <c r="V39" s="100">
        <v>78</v>
      </c>
      <c r="W39" s="100">
        <v>65</v>
      </c>
      <c r="X39" s="165">
        <f t="shared" si="177"/>
        <v>-9</v>
      </c>
      <c r="Y39" s="100">
        <f t="shared" si="177"/>
        <v>3</v>
      </c>
      <c r="Z39" s="100">
        <f t="shared" si="177"/>
        <v>-13</v>
      </c>
      <c r="AA39" s="100">
        <f t="shared" si="177"/>
        <v>-24</v>
      </c>
      <c r="AB39" s="100">
        <f t="shared" si="177"/>
        <v>-43</v>
      </c>
      <c r="AC39" s="100">
        <f t="shared" si="177"/>
        <v>-55</v>
      </c>
      <c r="AD39" s="100">
        <f t="shared" si="177"/>
        <v>-54</v>
      </c>
      <c r="AE39" s="100">
        <f t="shared" si="177"/>
        <v>-44</v>
      </c>
      <c r="AF39" s="100">
        <f t="shared" si="177"/>
        <v>-44</v>
      </c>
      <c r="AG39" s="200">
        <f t="shared" si="177"/>
        <v>-45</v>
      </c>
      <c r="AH39" s="165">
        <v>75</v>
      </c>
      <c r="AI39" s="100">
        <v>71</v>
      </c>
      <c r="AJ39" s="100">
        <v>38</v>
      </c>
      <c r="AK39" s="100">
        <v>20</v>
      </c>
      <c r="AL39" s="100">
        <v>0</v>
      </c>
      <c r="AM39" s="100">
        <v>0</v>
      </c>
      <c r="AN39" s="100">
        <v>0</v>
      </c>
      <c r="AO39" s="100">
        <v>0</v>
      </c>
      <c r="AP39" s="100">
        <v>0</v>
      </c>
      <c r="AQ39" s="100">
        <v>0</v>
      </c>
      <c r="AR39" s="100">
        <v>0</v>
      </c>
      <c r="AS39" s="200">
        <v>0</v>
      </c>
      <c r="AT39" s="165">
        <f t="shared" ref="AT39:AT42" si="193">L39-AH39</f>
        <v>-62</v>
      </c>
      <c r="AU39" s="100">
        <f t="shared" si="178"/>
        <v>-56</v>
      </c>
      <c r="AV39" s="100">
        <f t="shared" si="178"/>
        <v>-22</v>
      </c>
      <c r="AW39" s="100">
        <f t="shared" si="178"/>
        <v>-12</v>
      </c>
      <c r="AX39" s="100">
        <f t="shared" si="178"/>
        <v>32</v>
      </c>
      <c r="AY39" s="100">
        <f t="shared" si="178"/>
        <v>44</v>
      </c>
      <c r="AZ39" s="100">
        <f t="shared" si="178"/>
        <v>77</v>
      </c>
      <c r="BA39" s="100">
        <f t="shared" si="178"/>
        <v>96</v>
      </c>
      <c r="BB39" s="100">
        <f t="shared" si="178"/>
        <v>99</v>
      </c>
      <c r="BC39" s="100">
        <f t="shared" si="178"/>
        <v>95</v>
      </c>
      <c r="BD39" s="100">
        <f t="shared" si="178"/>
        <v>78</v>
      </c>
      <c r="BE39" s="200">
        <f t="shared" si="178"/>
        <v>65</v>
      </c>
      <c r="BF39" s="165">
        <v>0</v>
      </c>
      <c r="BG39" s="100">
        <v>0</v>
      </c>
      <c r="BH39" s="100">
        <v>0</v>
      </c>
      <c r="BI39" s="100">
        <v>0</v>
      </c>
      <c r="BJ39" s="100">
        <v>0</v>
      </c>
      <c r="BK39" s="100">
        <v>0</v>
      </c>
      <c r="BL39" s="100">
        <v>0</v>
      </c>
      <c r="BM39" s="100">
        <v>0</v>
      </c>
      <c r="BN39" s="100">
        <v>0</v>
      </c>
      <c r="BO39" s="100">
        <v>0</v>
      </c>
      <c r="BP39" s="100">
        <v>0</v>
      </c>
      <c r="BQ39" s="200">
        <v>0</v>
      </c>
      <c r="BR39" s="165">
        <f t="shared" si="179"/>
        <v>75</v>
      </c>
      <c r="BS39" s="100">
        <f t="shared" si="180"/>
        <v>71</v>
      </c>
      <c r="BT39" s="100">
        <f t="shared" si="181"/>
        <v>38</v>
      </c>
      <c r="BU39" s="100">
        <f t="shared" si="182"/>
        <v>20</v>
      </c>
      <c r="BV39" s="100">
        <f t="shared" si="183"/>
        <v>0</v>
      </c>
      <c r="BW39" s="100">
        <f t="shared" si="184"/>
        <v>0</v>
      </c>
      <c r="BX39" s="100">
        <f t="shared" si="185"/>
        <v>0</v>
      </c>
      <c r="BY39" s="100">
        <f t="shared" si="186"/>
        <v>0</v>
      </c>
      <c r="BZ39" s="100">
        <f t="shared" si="187"/>
        <v>0</v>
      </c>
      <c r="CA39" s="100">
        <f t="shared" si="188"/>
        <v>0</v>
      </c>
      <c r="CB39" s="100">
        <f t="shared" si="189"/>
        <v>0</v>
      </c>
      <c r="CC39" s="200">
        <f t="shared" si="190"/>
        <v>0</v>
      </c>
      <c r="CD39" s="165">
        <v>0</v>
      </c>
      <c r="CE39" s="100">
        <v>0</v>
      </c>
      <c r="CF39" s="100">
        <v>0</v>
      </c>
      <c r="CG39" s="100">
        <v>0</v>
      </c>
      <c r="CH39" s="100">
        <v>0</v>
      </c>
      <c r="CI39" s="100">
        <v>0</v>
      </c>
      <c r="CJ39" s="100">
        <v>0</v>
      </c>
      <c r="CK39" s="100">
        <v>0</v>
      </c>
      <c r="CL39" s="100">
        <v>0</v>
      </c>
      <c r="CM39" s="100">
        <v>0</v>
      </c>
      <c r="CN39" s="100">
        <v>0</v>
      </c>
      <c r="CO39" s="200">
        <v>0</v>
      </c>
      <c r="CP39" s="165">
        <f t="shared" si="191"/>
        <v>0</v>
      </c>
      <c r="CQ39" s="100">
        <f t="shared" si="191"/>
        <v>0</v>
      </c>
      <c r="CR39" s="100">
        <f t="shared" si="191"/>
        <v>0</v>
      </c>
      <c r="CS39" s="100">
        <f t="shared" si="191"/>
        <v>0</v>
      </c>
      <c r="CT39" s="100">
        <f t="shared" si="191"/>
        <v>0</v>
      </c>
      <c r="CU39" s="100">
        <f t="shared" si="191"/>
        <v>0</v>
      </c>
      <c r="CV39" s="100">
        <f t="shared" si="191"/>
        <v>0</v>
      </c>
      <c r="CW39" s="100">
        <f t="shared" si="191"/>
        <v>0</v>
      </c>
      <c r="CX39" s="100">
        <f t="shared" si="191"/>
        <v>0</v>
      </c>
      <c r="CY39" s="100">
        <f t="shared" si="191"/>
        <v>0</v>
      </c>
      <c r="CZ39" s="100">
        <f t="shared" si="191"/>
        <v>0</v>
      </c>
      <c r="DA39" s="200">
        <f t="shared" si="191"/>
        <v>0</v>
      </c>
      <c r="DB39" s="165">
        <v>49</v>
      </c>
      <c r="DC39" s="100">
        <v>42</v>
      </c>
      <c r="DD39" s="100">
        <v>77</v>
      </c>
      <c r="DE39" s="100">
        <v>126</v>
      </c>
      <c r="DF39" s="100">
        <f>1+1+45+40+25</f>
        <v>112</v>
      </c>
      <c r="DG39" s="100">
        <v>114</v>
      </c>
      <c r="DH39" s="100">
        <v>93</v>
      </c>
      <c r="DI39" s="100">
        <v>73</v>
      </c>
      <c r="DJ39" s="100">
        <v>69</v>
      </c>
      <c r="DK39" s="100">
        <v>69</v>
      </c>
      <c r="DL39" s="100">
        <v>53</v>
      </c>
      <c r="DM39" s="200"/>
      <c r="DN39" s="165">
        <f t="shared" ref="DN39:DN42" si="194">DB39-CD39</f>
        <v>49</v>
      </c>
      <c r="DO39" s="100">
        <f t="shared" si="192"/>
        <v>42</v>
      </c>
      <c r="DP39" s="100">
        <f t="shared" si="192"/>
        <v>77</v>
      </c>
      <c r="DQ39" s="100">
        <f t="shared" si="192"/>
        <v>126</v>
      </c>
      <c r="DR39" s="100">
        <f t="shared" si="192"/>
        <v>112</v>
      </c>
      <c r="DS39" s="100">
        <f t="shared" si="192"/>
        <v>114</v>
      </c>
      <c r="DT39" s="100">
        <f t="shared" si="192"/>
        <v>93</v>
      </c>
      <c r="DU39" s="100">
        <f t="shared" si="192"/>
        <v>73</v>
      </c>
      <c r="DV39" s="100">
        <f t="shared" si="192"/>
        <v>69</v>
      </c>
      <c r="DW39" s="100">
        <f t="shared" si="192"/>
        <v>69</v>
      </c>
      <c r="DX39" s="100">
        <f t="shared" si="192"/>
        <v>53</v>
      </c>
      <c r="DY39" s="200">
        <f t="shared" si="192"/>
        <v>0</v>
      </c>
    </row>
    <row r="40" spans="1:129" x14ac:dyDescent="0.25">
      <c r="A40" s="19" t="s">
        <v>36</v>
      </c>
      <c r="B40" s="165">
        <v>3</v>
      </c>
      <c r="C40" s="100">
        <v>4</v>
      </c>
      <c r="D40" s="100">
        <v>6</v>
      </c>
      <c r="E40" s="100">
        <v>10</v>
      </c>
      <c r="F40" s="100">
        <v>10</v>
      </c>
      <c r="G40" s="100">
        <v>7</v>
      </c>
      <c r="H40" s="100">
        <v>6</v>
      </c>
      <c r="I40" s="100">
        <v>7</v>
      </c>
      <c r="J40" s="100">
        <v>13</v>
      </c>
      <c r="K40" s="100">
        <v>16</v>
      </c>
      <c r="L40" s="165">
        <v>9</v>
      </c>
      <c r="M40" s="100">
        <v>8</v>
      </c>
      <c r="N40" s="100">
        <v>11</v>
      </c>
      <c r="O40" s="100">
        <v>11</v>
      </c>
      <c r="P40" s="100">
        <v>25</v>
      </c>
      <c r="Q40" s="100">
        <v>31</v>
      </c>
      <c r="R40" s="100">
        <v>27</v>
      </c>
      <c r="S40" s="100">
        <v>27</v>
      </c>
      <c r="T40" s="100">
        <v>21</v>
      </c>
      <c r="U40" s="100">
        <v>22</v>
      </c>
      <c r="V40" s="100">
        <v>20</v>
      </c>
      <c r="W40" s="100">
        <v>18</v>
      </c>
      <c r="X40" s="165">
        <f t="shared" si="177"/>
        <v>-8</v>
      </c>
      <c r="Y40" s="100">
        <f t="shared" si="177"/>
        <v>-7</v>
      </c>
      <c r="Z40" s="100">
        <f t="shared" si="177"/>
        <v>-19</v>
      </c>
      <c r="AA40" s="100">
        <f t="shared" si="177"/>
        <v>-21</v>
      </c>
      <c r="AB40" s="100">
        <f t="shared" si="177"/>
        <v>-17</v>
      </c>
      <c r="AC40" s="100">
        <f t="shared" si="177"/>
        <v>-20</v>
      </c>
      <c r="AD40" s="100">
        <f t="shared" si="177"/>
        <v>-15</v>
      </c>
      <c r="AE40" s="100">
        <f t="shared" si="177"/>
        <v>-15</v>
      </c>
      <c r="AF40" s="100">
        <f t="shared" si="177"/>
        <v>-7</v>
      </c>
      <c r="AG40" s="200">
        <f t="shared" si="177"/>
        <v>-2</v>
      </c>
      <c r="AH40" s="165">
        <v>19</v>
      </c>
      <c r="AI40" s="100">
        <v>15</v>
      </c>
      <c r="AJ40" s="100">
        <v>12</v>
      </c>
      <c r="AK40" s="100">
        <v>5</v>
      </c>
      <c r="AL40" s="100">
        <v>0</v>
      </c>
      <c r="AM40" s="100">
        <v>0</v>
      </c>
      <c r="AN40" s="100">
        <v>0</v>
      </c>
      <c r="AO40" s="100">
        <v>0</v>
      </c>
      <c r="AP40" s="100">
        <v>0</v>
      </c>
      <c r="AQ40" s="100">
        <v>0</v>
      </c>
      <c r="AR40" s="100">
        <v>0</v>
      </c>
      <c r="AS40" s="100">
        <v>0</v>
      </c>
      <c r="AT40" s="165">
        <f t="shared" si="193"/>
        <v>-10</v>
      </c>
      <c r="AU40" s="100">
        <f t="shared" si="178"/>
        <v>-7</v>
      </c>
      <c r="AV40" s="100">
        <f t="shared" si="178"/>
        <v>-1</v>
      </c>
      <c r="AW40" s="100">
        <f t="shared" si="178"/>
        <v>6</v>
      </c>
      <c r="AX40" s="100">
        <f t="shared" si="178"/>
        <v>25</v>
      </c>
      <c r="AY40" s="100">
        <f t="shared" si="178"/>
        <v>31</v>
      </c>
      <c r="AZ40" s="100">
        <f t="shared" si="178"/>
        <v>27</v>
      </c>
      <c r="BA40" s="100">
        <f t="shared" si="178"/>
        <v>27</v>
      </c>
      <c r="BB40" s="100">
        <f t="shared" si="178"/>
        <v>21</v>
      </c>
      <c r="BC40" s="100">
        <f t="shared" si="178"/>
        <v>22</v>
      </c>
      <c r="BD40" s="100">
        <f t="shared" si="178"/>
        <v>20</v>
      </c>
      <c r="BE40" s="200">
        <f t="shared" si="178"/>
        <v>18</v>
      </c>
      <c r="BF40" s="165">
        <v>0</v>
      </c>
      <c r="BG40" s="100">
        <v>0</v>
      </c>
      <c r="BH40" s="100">
        <v>0</v>
      </c>
      <c r="BI40" s="100">
        <v>0</v>
      </c>
      <c r="BJ40" s="100">
        <v>0</v>
      </c>
      <c r="BK40" s="100">
        <v>0</v>
      </c>
      <c r="BL40" s="100">
        <v>0</v>
      </c>
      <c r="BM40" s="100">
        <v>0</v>
      </c>
      <c r="BN40" s="100">
        <v>0</v>
      </c>
      <c r="BO40" s="100">
        <v>0</v>
      </c>
      <c r="BP40" s="100">
        <v>0</v>
      </c>
      <c r="BQ40" s="200">
        <v>0</v>
      </c>
      <c r="BR40" s="165">
        <f t="shared" si="179"/>
        <v>19</v>
      </c>
      <c r="BS40" s="100">
        <f t="shared" si="180"/>
        <v>15</v>
      </c>
      <c r="BT40" s="100">
        <f t="shared" si="181"/>
        <v>12</v>
      </c>
      <c r="BU40" s="100">
        <f t="shared" si="182"/>
        <v>5</v>
      </c>
      <c r="BV40" s="100">
        <f t="shared" si="183"/>
        <v>0</v>
      </c>
      <c r="BW40" s="100">
        <f t="shared" si="184"/>
        <v>0</v>
      </c>
      <c r="BX40" s="100">
        <f t="shared" si="185"/>
        <v>0</v>
      </c>
      <c r="BY40" s="100">
        <f t="shared" si="186"/>
        <v>0</v>
      </c>
      <c r="BZ40" s="100">
        <f t="shared" si="187"/>
        <v>0</v>
      </c>
      <c r="CA40" s="100">
        <f t="shared" si="188"/>
        <v>0</v>
      </c>
      <c r="CB40" s="100">
        <f t="shared" si="189"/>
        <v>0</v>
      </c>
      <c r="CC40" s="200">
        <f t="shared" si="190"/>
        <v>0</v>
      </c>
      <c r="CD40" s="165">
        <v>0</v>
      </c>
      <c r="CE40" s="100">
        <v>0</v>
      </c>
      <c r="CF40" s="100">
        <v>0</v>
      </c>
      <c r="CG40" s="100">
        <v>0</v>
      </c>
      <c r="CH40" s="100">
        <v>0</v>
      </c>
      <c r="CI40" s="100">
        <v>0</v>
      </c>
      <c r="CJ40" s="100">
        <v>0</v>
      </c>
      <c r="CK40" s="100">
        <v>0</v>
      </c>
      <c r="CL40" s="100">
        <v>0</v>
      </c>
      <c r="CM40" s="100">
        <v>0</v>
      </c>
      <c r="CN40" s="100">
        <v>0</v>
      </c>
      <c r="CO40" s="200">
        <v>0</v>
      </c>
      <c r="CP40" s="165">
        <f t="shared" si="191"/>
        <v>0</v>
      </c>
      <c r="CQ40" s="100">
        <f t="shared" si="191"/>
        <v>0</v>
      </c>
      <c r="CR40" s="100">
        <f t="shared" si="191"/>
        <v>0</v>
      </c>
      <c r="CS40" s="100">
        <f t="shared" si="191"/>
        <v>0</v>
      </c>
      <c r="CT40" s="100">
        <f t="shared" si="191"/>
        <v>0</v>
      </c>
      <c r="CU40" s="100">
        <f t="shared" si="191"/>
        <v>0</v>
      </c>
      <c r="CV40" s="100">
        <f t="shared" si="191"/>
        <v>0</v>
      </c>
      <c r="CW40" s="100">
        <f t="shared" si="191"/>
        <v>0</v>
      </c>
      <c r="CX40" s="100">
        <f t="shared" si="191"/>
        <v>0</v>
      </c>
      <c r="CY40" s="100">
        <f t="shared" si="191"/>
        <v>0</v>
      </c>
      <c r="CZ40" s="100">
        <f t="shared" si="191"/>
        <v>0</v>
      </c>
      <c r="DA40" s="200">
        <f t="shared" si="191"/>
        <v>0</v>
      </c>
      <c r="DB40" s="165">
        <v>11</v>
      </c>
      <c r="DC40" s="100">
        <v>7</v>
      </c>
      <c r="DD40" s="100">
        <v>18</v>
      </c>
      <c r="DE40" s="100">
        <v>17</v>
      </c>
      <c r="DF40" s="100">
        <f>4+4+3+1+1+1</f>
        <v>14</v>
      </c>
      <c r="DG40" s="100">
        <v>10</v>
      </c>
      <c r="DH40" s="100">
        <v>19</v>
      </c>
      <c r="DI40" s="100">
        <v>27</v>
      </c>
      <c r="DJ40" s="100">
        <v>27</v>
      </c>
      <c r="DK40" s="100">
        <v>32</v>
      </c>
      <c r="DL40" s="100">
        <v>36</v>
      </c>
      <c r="DM40" s="200"/>
      <c r="DN40" s="165">
        <f t="shared" si="194"/>
        <v>11</v>
      </c>
      <c r="DO40" s="100">
        <f t="shared" si="192"/>
        <v>7</v>
      </c>
      <c r="DP40" s="100">
        <f t="shared" si="192"/>
        <v>18</v>
      </c>
      <c r="DQ40" s="100">
        <f t="shared" si="192"/>
        <v>17</v>
      </c>
      <c r="DR40" s="100">
        <f t="shared" si="192"/>
        <v>14</v>
      </c>
      <c r="DS40" s="100">
        <f t="shared" si="192"/>
        <v>10</v>
      </c>
      <c r="DT40" s="100">
        <f t="shared" si="192"/>
        <v>19</v>
      </c>
      <c r="DU40" s="100">
        <f t="shared" si="192"/>
        <v>27</v>
      </c>
      <c r="DV40" s="100">
        <f t="shared" si="192"/>
        <v>27</v>
      </c>
      <c r="DW40" s="100">
        <f t="shared" si="192"/>
        <v>32</v>
      </c>
      <c r="DX40" s="100">
        <f t="shared" si="192"/>
        <v>36</v>
      </c>
      <c r="DY40" s="200">
        <f t="shared" si="192"/>
        <v>0</v>
      </c>
    </row>
    <row r="41" spans="1:129" x14ac:dyDescent="0.25">
      <c r="A41" s="19" t="s">
        <v>37</v>
      </c>
      <c r="B41" s="165">
        <v>0</v>
      </c>
      <c r="C41" s="100">
        <v>0</v>
      </c>
      <c r="D41" s="100">
        <v>0</v>
      </c>
      <c r="E41" s="100">
        <v>0</v>
      </c>
      <c r="F41" s="100">
        <v>0</v>
      </c>
      <c r="G41" s="100">
        <v>0</v>
      </c>
      <c r="H41" s="100">
        <v>0</v>
      </c>
      <c r="I41" s="100">
        <v>0</v>
      </c>
      <c r="J41" s="100">
        <v>0</v>
      </c>
      <c r="K41" s="100">
        <v>0</v>
      </c>
      <c r="L41" s="165">
        <v>0</v>
      </c>
      <c r="M41" s="100">
        <v>0</v>
      </c>
      <c r="N41" s="100">
        <v>0</v>
      </c>
      <c r="O41" s="100">
        <v>0</v>
      </c>
      <c r="P41" s="100">
        <v>0</v>
      </c>
      <c r="Q41" s="100">
        <v>0</v>
      </c>
      <c r="R41" s="100">
        <v>0</v>
      </c>
      <c r="S41" s="100">
        <v>0</v>
      </c>
      <c r="T41" s="100">
        <v>0</v>
      </c>
      <c r="U41" s="100">
        <v>0</v>
      </c>
      <c r="V41" s="100">
        <v>0</v>
      </c>
      <c r="W41" s="100">
        <v>0</v>
      </c>
      <c r="X41" s="165">
        <f t="shared" si="177"/>
        <v>0</v>
      </c>
      <c r="Y41" s="100">
        <f t="shared" si="177"/>
        <v>0</v>
      </c>
      <c r="Z41" s="100">
        <f t="shared" si="177"/>
        <v>0</v>
      </c>
      <c r="AA41" s="100">
        <f t="shared" si="177"/>
        <v>0</v>
      </c>
      <c r="AB41" s="100">
        <f t="shared" si="177"/>
        <v>0</v>
      </c>
      <c r="AC41" s="100">
        <f t="shared" si="177"/>
        <v>0</v>
      </c>
      <c r="AD41" s="100">
        <f t="shared" si="177"/>
        <v>0</v>
      </c>
      <c r="AE41" s="100">
        <f t="shared" si="177"/>
        <v>0</v>
      </c>
      <c r="AF41" s="100">
        <f t="shared" si="177"/>
        <v>0</v>
      </c>
      <c r="AG41" s="200">
        <f t="shared" si="177"/>
        <v>0</v>
      </c>
      <c r="AH41" s="165">
        <v>0</v>
      </c>
      <c r="AI41" s="100">
        <v>0</v>
      </c>
      <c r="AJ41" s="100">
        <v>0</v>
      </c>
      <c r="AK41" s="100">
        <v>0</v>
      </c>
      <c r="AL41" s="100">
        <v>0</v>
      </c>
      <c r="AM41" s="100">
        <v>0</v>
      </c>
      <c r="AN41" s="100">
        <v>0</v>
      </c>
      <c r="AO41" s="100">
        <v>0</v>
      </c>
      <c r="AP41" s="100">
        <v>0</v>
      </c>
      <c r="AQ41" s="100">
        <v>0</v>
      </c>
      <c r="AR41" s="100">
        <v>0</v>
      </c>
      <c r="AS41" s="200">
        <v>0</v>
      </c>
      <c r="AT41" s="165">
        <f t="shared" si="193"/>
        <v>0</v>
      </c>
      <c r="AU41" s="100">
        <f t="shared" si="178"/>
        <v>0</v>
      </c>
      <c r="AV41" s="100">
        <f t="shared" si="178"/>
        <v>0</v>
      </c>
      <c r="AW41" s="100">
        <f t="shared" si="178"/>
        <v>0</v>
      </c>
      <c r="AX41" s="100">
        <f t="shared" si="178"/>
        <v>0</v>
      </c>
      <c r="AY41" s="100">
        <f t="shared" si="178"/>
        <v>0</v>
      </c>
      <c r="AZ41" s="100">
        <f t="shared" si="178"/>
        <v>0</v>
      </c>
      <c r="BA41" s="100">
        <f t="shared" si="178"/>
        <v>0</v>
      </c>
      <c r="BB41" s="100">
        <f t="shared" si="178"/>
        <v>0</v>
      </c>
      <c r="BC41" s="100">
        <f t="shared" si="178"/>
        <v>0</v>
      </c>
      <c r="BD41" s="100">
        <f t="shared" si="178"/>
        <v>0</v>
      </c>
      <c r="BE41" s="200">
        <f t="shared" si="178"/>
        <v>0</v>
      </c>
      <c r="BF41" s="165">
        <v>0</v>
      </c>
      <c r="BG41" s="100">
        <v>0</v>
      </c>
      <c r="BH41" s="100">
        <v>0</v>
      </c>
      <c r="BI41" s="100">
        <v>0</v>
      </c>
      <c r="BJ41" s="100">
        <v>0</v>
      </c>
      <c r="BK41" s="100">
        <v>0</v>
      </c>
      <c r="BL41" s="100">
        <v>0</v>
      </c>
      <c r="BM41" s="100">
        <v>0</v>
      </c>
      <c r="BN41" s="100">
        <v>0</v>
      </c>
      <c r="BO41" s="100">
        <v>0</v>
      </c>
      <c r="BP41" s="100">
        <v>0</v>
      </c>
      <c r="BQ41" s="200">
        <v>0</v>
      </c>
      <c r="BR41" s="165">
        <f t="shared" si="179"/>
        <v>0</v>
      </c>
      <c r="BS41" s="100">
        <f t="shared" si="180"/>
        <v>0</v>
      </c>
      <c r="BT41" s="100">
        <f t="shared" si="181"/>
        <v>0</v>
      </c>
      <c r="BU41" s="100">
        <f t="shared" si="182"/>
        <v>0</v>
      </c>
      <c r="BV41" s="100">
        <f t="shared" si="183"/>
        <v>0</v>
      </c>
      <c r="BW41" s="100">
        <f t="shared" si="184"/>
        <v>0</v>
      </c>
      <c r="BX41" s="100">
        <f t="shared" si="185"/>
        <v>0</v>
      </c>
      <c r="BY41" s="100">
        <f t="shared" si="186"/>
        <v>0</v>
      </c>
      <c r="BZ41" s="100">
        <f t="shared" si="187"/>
        <v>0</v>
      </c>
      <c r="CA41" s="100">
        <f t="shared" si="188"/>
        <v>0</v>
      </c>
      <c r="CB41" s="100">
        <f t="shared" si="189"/>
        <v>0</v>
      </c>
      <c r="CC41" s="200">
        <f t="shared" si="190"/>
        <v>0</v>
      </c>
      <c r="CD41" s="165">
        <v>0</v>
      </c>
      <c r="CE41" s="100">
        <v>0</v>
      </c>
      <c r="CF41" s="100">
        <v>0</v>
      </c>
      <c r="CG41" s="100">
        <v>0</v>
      </c>
      <c r="CH41" s="100">
        <v>0</v>
      </c>
      <c r="CI41" s="100">
        <v>0</v>
      </c>
      <c r="CJ41" s="100">
        <v>0</v>
      </c>
      <c r="CK41" s="100">
        <v>0</v>
      </c>
      <c r="CL41" s="100">
        <v>0</v>
      </c>
      <c r="CM41" s="100">
        <v>0</v>
      </c>
      <c r="CN41" s="100">
        <v>0</v>
      </c>
      <c r="CO41" s="200">
        <v>0</v>
      </c>
      <c r="CP41" s="165">
        <f t="shared" si="191"/>
        <v>0</v>
      </c>
      <c r="CQ41" s="100">
        <f t="shared" si="191"/>
        <v>0</v>
      </c>
      <c r="CR41" s="100">
        <f t="shared" si="191"/>
        <v>0</v>
      </c>
      <c r="CS41" s="100">
        <f t="shared" si="191"/>
        <v>0</v>
      </c>
      <c r="CT41" s="100">
        <f t="shared" si="191"/>
        <v>0</v>
      </c>
      <c r="CU41" s="100">
        <f t="shared" si="191"/>
        <v>0</v>
      </c>
      <c r="CV41" s="100">
        <f t="shared" si="191"/>
        <v>0</v>
      </c>
      <c r="CW41" s="100">
        <f t="shared" si="191"/>
        <v>0</v>
      </c>
      <c r="CX41" s="100">
        <f t="shared" si="191"/>
        <v>0</v>
      </c>
      <c r="CY41" s="100">
        <f t="shared" si="191"/>
        <v>0</v>
      </c>
      <c r="CZ41" s="100">
        <f t="shared" si="191"/>
        <v>0</v>
      </c>
      <c r="DA41" s="200">
        <f t="shared" si="191"/>
        <v>0</v>
      </c>
      <c r="DB41" s="165">
        <v>0</v>
      </c>
      <c r="DC41" s="100">
        <v>0</v>
      </c>
      <c r="DD41" s="100">
        <v>0</v>
      </c>
      <c r="DE41" s="100">
        <v>0</v>
      </c>
      <c r="DF41" s="100">
        <v>0</v>
      </c>
      <c r="DG41" s="100">
        <v>0</v>
      </c>
      <c r="DH41" s="100">
        <v>0</v>
      </c>
      <c r="DI41" s="100">
        <v>0</v>
      </c>
      <c r="DJ41" s="100">
        <v>0</v>
      </c>
      <c r="DK41" s="100">
        <v>0</v>
      </c>
      <c r="DL41" s="100">
        <v>0</v>
      </c>
      <c r="DM41" s="200"/>
      <c r="DN41" s="165">
        <f t="shared" si="194"/>
        <v>0</v>
      </c>
      <c r="DO41" s="100">
        <f t="shared" si="192"/>
        <v>0</v>
      </c>
      <c r="DP41" s="100">
        <f t="shared" si="192"/>
        <v>0</v>
      </c>
      <c r="DQ41" s="100">
        <f t="shared" si="192"/>
        <v>0</v>
      </c>
      <c r="DR41" s="100">
        <f t="shared" si="192"/>
        <v>0</v>
      </c>
      <c r="DS41" s="100">
        <f t="shared" si="192"/>
        <v>0</v>
      </c>
      <c r="DT41" s="100">
        <f t="shared" si="192"/>
        <v>0</v>
      </c>
      <c r="DU41" s="100">
        <f t="shared" si="192"/>
        <v>0</v>
      </c>
      <c r="DV41" s="100">
        <f t="shared" si="192"/>
        <v>0</v>
      </c>
      <c r="DW41" s="100">
        <f t="shared" si="192"/>
        <v>0</v>
      </c>
      <c r="DX41" s="100">
        <f t="shared" si="192"/>
        <v>0</v>
      </c>
      <c r="DY41" s="200">
        <f t="shared" si="192"/>
        <v>0</v>
      </c>
    </row>
    <row r="42" spans="1:129" x14ac:dyDescent="0.25">
      <c r="A42" s="19" t="s">
        <v>46</v>
      </c>
      <c r="B42" s="165">
        <v>0</v>
      </c>
      <c r="C42" s="100">
        <v>0</v>
      </c>
      <c r="D42" s="100">
        <v>0</v>
      </c>
      <c r="E42" s="100">
        <v>0</v>
      </c>
      <c r="F42" s="100">
        <v>0</v>
      </c>
      <c r="G42" s="100">
        <v>0</v>
      </c>
      <c r="H42" s="100">
        <v>0</v>
      </c>
      <c r="I42" s="100">
        <v>0</v>
      </c>
      <c r="J42" s="100">
        <v>0</v>
      </c>
      <c r="K42" s="100">
        <v>0</v>
      </c>
      <c r="L42" s="165">
        <v>0</v>
      </c>
      <c r="M42" s="100">
        <v>0</v>
      </c>
      <c r="N42" s="100">
        <v>0</v>
      </c>
      <c r="O42" s="100">
        <v>0</v>
      </c>
      <c r="P42" s="100">
        <v>0</v>
      </c>
      <c r="Q42" s="100">
        <v>0</v>
      </c>
      <c r="R42" s="100">
        <v>0</v>
      </c>
      <c r="S42" s="100">
        <v>0</v>
      </c>
      <c r="T42" s="100">
        <v>0</v>
      </c>
      <c r="U42" s="100">
        <v>0</v>
      </c>
      <c r="V42" s="100">
        <v>0</v>
      </c>
      <c r="W42" s="100">
        <v>0</v>
      </c>
      <c r="X42" s="165">
        <f t="shared" si="177"/>
        <v>0</v>
      </c>
      <c r="Y42" s="100">
        <f t="shared" si="177"/>
        <v>0</v>
      </c>
      <c r="Z42" s="100">
        <f t="shared" si="177"/>
        <v>0</v>
      </c>
      <c r="AA42" s="100">
        <f t="shared" si="177"/>
        <v>0</v>
      </c>
      <c r="AB42" s="100">
        <f t="shared" si="177"/>
        <v>0</v>
      </c>
      <c r="AC42" s="100">
        <f t="shared" si="177"/>
        <v>0</v>
      </c>
      <c r="AD42" s="100">
        <f t="shared" si="177"/>
        <v>0</v>
      </c>
      <c r="AE42" s="100">
        <f t="shared" si="177"/>
        <v>0</v>
      </c>
      <c r="AF42" s="100">
        <f t="shared" si="177"/>
        <v>0</v>
      </c>
      <c r="AG42" s="200">
        <f t="shared" si="177"/>
        <v>0</v>
      </c>
      <c r="AH42" s="165">
        <v>0</v>
      </c>
      <c r="AI42" s="100">
        <v>0</v>
      </c>
      <c r="AJ42" s="100">
        <v>0</v>
      </c>
      <c r="AK42" s="100">
        <v>0</v>
      </c>
      <c r="AL42" s="100">
        <v>0</v>
      </c>
      <c r="AM42" s="100">
        <v>0</v>
      </c>
      <c r="AN42" s="100">
        <v>0</v>
      </c>
      <c r="AO42" s="100">
        <v>0</v>
      </c>
      <c r="AP42" s="100">
        <v>0</v>
      </c>
      <c r="AQ42" s="100">
        <v>0</v>
      </c>
      <c r="AR42" s="100">
        <v>0</v>
      </c>
      <c r="AS42" s="200">
        <v>0</v>
      </c>
      <c r="AT42" s="165">
        <f t="shared" si="193"/>
        <v>0</v>
      </c>
      <c r="AU42" s="100">
        <f t="shared" si="178"/>
        <v>0</v>
      </c>
      <c r="AV42" s="100">
        <f t="shared" si="178"/>
        <v>0</v>
      </c>
      <c r="AW42" s="100">
        <f t="shared" si="178"/>
        <v>0</v>
      </c>
      <c r="AX42" s="100">
        <f t="shared" si="178"/>
        <v>0</v>
      </c>
      <c r="AY42" s="100">
        <f t="shared" si="178"/>
        <v>0</v>
      </c>
      <c r="AZ42" s="100">
        <f t="shared" si="178"/>
        <v>0</v>
      </c>
      <c r="BA42" s="100">
        <f t="shared" si="178"/>
        <v>0</v>
      </c>
      <c r="BB42" s="100">
        <f t="shared" si="178"/>
        <v>0</v>
      </c>
      <c r="BC42" s="100">
        <f t="shared" si="178"/>
        <v>0</v>
      </c>
      <c r="BD42" s="100">
        <f t="shared" si="178"/>
        <v>0</v>
      </c>
      <c r="BE42" s="200">
        <f t="shared" si="178"/>
        <v>0</v>
      </c>
      <c r="BF42" s="165">
        <v>0</v>
      </c>
      <c r="BG42" s="100">
        <v>0</v>
      </c>
      <c r="BH42" s="100">
        <v>0</v>
      </c>
      <c r="BI42" s="100">
        <v>0</v>
      </c>
      <c r="BJ42" s="100">
        <v>0</v>
      </c>
      <c r="BK42" s="100">
        <v>0</v>
      </c>
      <c r="BL42" s="100">
        <v>0</v>
      </c>
      <c r="BM42" s="100">
        <v>0</v>
      </c>
      <c r="BN42" s="100">
        <v>0</v>
      </c>
      <c r="BO42" s="100">
        <v>0</v>
      </c>
      <c r="BP42" s="100">
        <v>0</v>
      </c>
      <c r="BQ42" s="200">
        <v>0</v>
      </c>
      <c r="BR42" s="165">
        <f t="shared" si="179"/>
        <v>0</v>
      </c>
      <c r="BS42" s="100">
        <f t="shared" si="180"/>
        <v>0</v>
      </c>
      <c r="BT42" s="100">
        <f t="shared" si="181"/>
        <v>0</v>
      </c>
      <c r="BU42" s="100">
        <f t="shared" si="182"/>
        <v>0</v>
      </c>
      <c r="BV42" s="100">
        <f t="shared" si="183"/>
        <v>0</v>
      </c>
      <c r="BW42" s="100">
        <f t="shared" si="184"/>
        <v>0</v>
      </c>
      <c r="BX42" s="100">
        <f t="shared" si="185"/>
        <v>0</v>
      </c>
      <c r="BY42" s="100">
        <f t="shared" si="186"/>
        <v>0</v>
      </c>
      <c r="BZ42" s="100">
        <f t="shared" si="187"/>
        <v>0</v>
      </c>
      <c r="CA42" s="100">
        <f t="shared" si="188"/>
        <v>0</v>
      </c>
      <c r="CB42" s="100">
        <f t="shared" si="189"/>
        <v>0</v>
      </c>
      <c r="CC42" s="200">
        <f t="shared" si="190"/>
        <v>0</v>
      </c>
      <c r="CD42" s="165">
        <v>0</v>
      </c>
      <c r="CE42" s="100">
        <v>0</v>
      </c>
      <c r="CF42" s="100">
        <v>0</v>
      </c>
      <c r="CG42" s="100">
        <v>0</v>
      </c>
      <c r="CH42" s="100">
        <v>0</v>
      </c>
      <c r="CI42" s="100">
        <v>0</v>
      </c>
      <c r="CJ42" s="100">
        <v>0</v>
      </c>
      <c r="CK42" s="100">
        <v>0</v>
      </c>
      <c r="CL42" s="100">
        <v>0</v>
      </c>
      <c r="CM42" s="100">
        <v>0</v>
      </c>
      <c r="CN42" s="100">
        <v>0</v>
      </c>
      <c r="CO42" s="200">
        <v>0</v>
      </c>
      <c r="CP42" s="165">
        <f t="shared" si="191"/>
        <v>0</v>
      </c>
      <c r="CQ42" s="100">
        <f t="shared" si="191"/>
        <v>0</v>
      </c>
      <c r="CR42" s="100">
        <f t="shared" si="191"/>
        <v>0</v>
      </c>
      <c r="CS42" s="100">
        <f t="shared" si="191"/>
        <v>0</v>
      </c>
      <c r="CT42" s="100">
        <f t="shared" si="191"/>
        <v>0</v>
      </c>
      <c r="CU42" s="100">
        <f t="shared" si="191"/>
        <v>0</v>
      </c>
      <c r="CV42" s="100">
        <f t="shared" si="191"/>
        <v>0</v>
      </c>
      <c r="CW42" s="100">
        <f t="shared" si="191"/>
        <v>0</v>
      </c>
      <c r="CX42" s="100">
        <f t="shared" si="191"/>
        <v>0</v>
      </c>
      <c r="CY42" s="100">
        <f t="shared" si="191"/>
        <v>0</v>
      </c>
      <c r="CZ42" s="100">
        <f t="shared" si="191"/>
        <v>0</v>
      </c>
      <c r="DA42" s="200">
        <f t="shared" si="191"/>
        <v>0</v>
      </c>
      <c r="DB42" s="165">
        <v>0</v>
      </c>
      <c r="DC42" s="100">
        <v>0</v>
      </c>
      <c r="DD42" s="100">
        <v>0</v>
      </c>
      <c r="DE42" s="100">
        <v>0</v>
      </c>
      <c r="DF42" s="100">
        <v>0</v>
      </c>
      <c r="DG42" s="100">
        <v>0</v>
      </c>
      <c r="DH42" s="100">
        <v>0</v>
      </c>
      <c r="DI42" s="100">
        <v>0</v>
      </c>
      <c r="DJ42" s="100">
        <v>0</v>
      </c>
      <c r="DK42" s="100">
        <v>0</v>
      </c>
      <c r="DL42" s="100">
        <v>0</v>
      </c>
      <c r="DM42" s="200"/>
      <c r="DN42" s="165">
        <f t="shared" si="194"/>
        <v>0</v>
      </c>
      <c r="DO42" s="100">
        <f t="shared" si="192"/>
        <v>0</v>
      </c>
      <c r="DP42" s="100">
        <f t="shared" si="192"/>
        <v>0</v>
      </c>
      <c r="DQ42" s="100">
        <f t="shared" si="192"/>
        <v>0</v>
      </c>
      <c r="DR42" s="100">
        <f t="shared" si="192"/>
        <v>0</v>
      </c>
      <c r="DS42" s="100">
        <f t="shared" si="192"/>
        <v>0</v>
      </c>
      <c r="DT42" s="100">
        <f t="shared" si="192"/>
        <v>0</v>
      </c>
      <c r="DU42" s="100">
        <f t="shared" si="192"/>
        <v>0</v>
      </c>
      <c r="DV42" s="100">
        <f t="shared" si="192"/>
        <v>0</v>
      </c>
      <c r="DW42" s="100">
        <f t="shared" si="192"/>
        <v>0</v>
      </c>
      <c r="DX42" s="100">
        <f t="shared" si="192"/>
        <v>0</v>
      </c>
      <c r="DY42" s="200">
        <f t="shared" si="192"/>
        <v>0</v>
      </c>
    </row>
    <row r="43" spans="1:129" ht="15.75" thickBot="1" x14ac:dyDescent="0.3">
      <c r="A43" s="20" t="s">
        <v>39</v>
      </c>
      <c r="B43" s="165">
        <f>SUM(B38:B42)</f>
        <v>47</v>
      </c>
      <c r="C43" s="100">
        <f t="shared" ref="C43:K43" si="195">SUM(C38:C42)</f>
        <v>83</v>
      </c>
      <c r="D43" s="100">
        <f t="shared" si="195"/>
        <v>170</v>
      </c>
      <c r="E43" s="102">
        <f t="shared" si="195"/>
        <v>207</v>
      </c>
      <c r="F43" s="100">
        <f t="shared" si="195"/>
        <v>213</v>
      </c>
      <c r="G43" s="100">
        <f t="shared" si="195"/>
        <v>209</v>
      </c>
      <c r="H43" s="100">
        <f t="shared" si="195"/>
        <v>213</v>
      </c>
      <c r="I43" s="100">
        <f t="shared" si="195"/>
        <v>207</v>
      </c>
      <c r="J43" s="100">
        <f t="shared" si="195"/>
        <v>170</v>
      </c>
      <c r="K43" s="100">
        <f t="shared" si="195"/>
        <v>96</v>
      </c>
      <c r="L43" s="165">
        <f>SUM(L38:L42)</f>
        <v>65</v>
      </c>
      <c r="M43" s="100">
        <f t="shared" ref="M43:W43" si="196">SUM(M38:M42)</f>
        <v>74</v>
      </c>
      <c r="N43" s="100">
        <f t="shared" si="196"/>
        <v>94</v>
      </c>
      <c r="O43" s="102">
        <f t="shared" si="196"/>
        <v>57</v>
      </c>
      <c r="P43" s="100">
        <f t="shared" si="196"/>
        <v>291</v>
      </c>
      <c r="Q43" s="100">
        <f t="shared" si="196"/>
        <v>366</v>
      </c>
      <c r="R43" s="100">
        <f t="shared" si="196"/>
        <v>419</v>
      </c>
      <c r="S43" s="100">
        <f t="shared" si="196"/>
        <v>458</v>
      </c>
      <c r="T43" s="100">
        <f t="shared" si="196"/>
        <v>425</v>
      </c>
      <c r="U43" s="100">
        <f t="shared" si="196"/>
        <v>440</v>
      </c>
      <c r="V43" s="100">
        <f t="shared" si="196"/>
        <v>429</v>
      </c>
      <c r="W43" s="100">
        <f t="shared" si="196"/>
        <v>382</v>
      </c>
      <c r="X43" s="165">
        <f t="shared" ref="X43" si="197">SUM(X38:X42)</f>
        <v>-47</v>
      </c>
      <c r="Y43" s="102">
        <f t="shared" ref="Y43" si="198">SUM(Y38:Y42)</f>
        <v>26</v>
      </c>
      <c r="Z43" s="102">
        <f t="shared" ref="Z43" si="199">SUM(Z38:Z42)</f>
        <v>-121</v>
      </c>
      <c r="AA43" s="102">
        <f t="shared" ref="AA43" si="200">SUM(AA38:AA42)</f>
        <v>-159</v>
      </c>
      <c r="AB43" s="102">
        <f t="shared" ref="AB43" si="201">SUM(AB38:AB42)</f>
        <v>-206</v>
      </c>
      <c r="AC43" s="102">
        <f t="shared" ref="AC43" si="202">SUM(AC38:AC42)</f>
        <v>-249</v>
      </c>
      <c r="AD43" s="102">
        <f t="shared" ref="AD43" si="203">SUM(AD38:AD42)</f>
        <v>-212</v>
      </c>
      <c r="AE43" s="102">
        <f t="shared" ref="AE43" si="204">SUM(AE38:AE42)</f>
        <v>-233</v>
      </c>
      <c r="AF43" s="102">
        <f t="shared" ref="AF43" si="205">SUM(AF38:AF42)</f>
        <v>-259</v>
      </c>
      <c r="AG43" s="202">
        <f t="shared" ref="AG43" si="206">SUM(AG38:AG42)</f>
        <v>-286</v>
      </c>
      <c r="AH43" s="165">
        <f t="shared" ref="AH43:AK43" si="207">SUM(AH38:AH42)</f>
        <v>381</v>
      </c>
      <c r="AI43" s="100">
        <f t="shared" si="207"/>
        <v>328</v>
      </c>
      <c r="AJ43" s="100">
        <f t="shared" si="207"/>
        <v>185</v>
      </c>
      <c r="AK43" s="102">
        <f t="shared" si="207"/>
        <v>164</v>
      </c>
      <c r="AL43" s="100">
        <f t="shared" ref="AL43" si="208">SUM(AL38:AL42)</f>
        <v>0</v>
      </c>
      <c r="AM43" s="100">
        <f t="shared" ref="AM43" si="209">SUM(AM38:AM42)</f>
        <v>0</v>
      </c>
      <c r="AN43" s="100">
        <f t="shared" ref="AN43" si="210">SUM(AN38:AN42)</f>
        <v>0</v>
      </c>
      <c r="AO43" s="100">
        <f t="shared" ref="AO43" si="211">SUM(AO38:AO42)</f>
        <v>0</v>
      </c>
      <c r="AP43" s="100">
        <f t="shared" ref="AP43" si="212">SUM(AP38:AP42)</f>
        <v>0</v>
      </c>
      <c r="AQ43" s="100">
        <f t="shared" ref="AQ43" si="213">SUM(AQ38:AQ42)</f>
        <v>0</v>
      </c>
      <c r="AR43" s="100">
        <f t="shared" ref="AR43" si="214">SUM(AR38:AR42)</f>
        <v>0</v>
      </c>
      <c r="AS43" s="200">
        <f t="shared" ref="AS43" si="215">SUM(AS38:AS42)</f>
        <v>0</v>
      </c>
      <c r="AT43" s="165">
        <f>SUM(AT38:AT42)</f>
        <v>-316</v>
      </c>
      <c r="AU43" s="100">
        <f t="shared" ref="AU43" si="216">SUM(AU38:AU42)</f>
        <v>-254</v>
      </c>
      <c r="AV43" s="100">
        <f t="shared" ref="AV43" si="217">SUM(AV38:AV42)</f>
        <v>-91</v>
      </c>
      <c r="AW43" s="102">
        <f t="shared" ref="AW43" si="218">SUM(AW38:AW42)</f>
        <v>-107</v>
      </c>
      <c r="AX43" s="102">
        <f t="shared" ref="AX43" si="219">SUM(AX38:AX42)</f>
        <v>291</v>
      </c>
      <c r="AY43" s="102">
        <f t="shared" ref="AY43" si="220">SUM(AY38:AY42)</f>
        <v>366</v>
      </c>
      <c r="AZ43" s="102">
        <f t="shared" ref="AZ43" si="221">SUM(AZ38:AZ42)</f>
        <v>419</v>
      </c>
      <c r="BA43" s="102">
        <f t="shared" ref="BA43" si="222">SUM(BA38:BA42)</f>
        <v>458</v>
      </c>
      <c r="BB43" s="102">
        <f t="shared" ref="BB43" si="223">SUM(BB38:BB42)</f>
        <v>425</v>
      </c>
      <c r="BC43" s="102">
        <f t="shared" ref="BC43" si="224">SUM(BC38:BC42)</f>
        <v>440</v>
      </c>
      <c r="BD43" s="102">
        <f t="shared" ref="BD43" si="225">SUM(BD38:BD42)</f>
        <v>429</v>
      </c>
      <c r="BE43" s="202">
        <f t="shared" ref="BE43" si="226">SUM(BE38:BE42)</f>
        <v>382</v>
      </c>
      <c r="BF43" s="165">
        <f>SUM(BF38:BF42)</f>
        <v>0</v>
      </c>
      <c r="BG43" s="100">
        <f t="shared" ref="BG43:BQ43" si="227">SUM(BG38:BG42)</f>
        <v>0</v>
      </c>
      <c r="BH43" s="100">
        <f t="shared" si="227"/>
        <v>0</v>
      </c>
      <c r="BI43" s="102">
        <f t="shared" si="227"/>
        <v>0</v>
      </c>
      <c r="BJ43" s="102">
        <f t="shared" si="227"/>
        <v>0</v>
      </c>
      <c r="BK43" s="102">
        <f t="shared" si="227"/>
        <v>0</v>
      </c>
      <c r="BL43" s="102">
        <f t="shared" si="227"/>
        <v>0</v>
      </c>
      <c r="BM43" s="102">
        <f t="shared" si="227"/>
        <v>0</v>
      </c>
      <c r="BN43" s="102">
        <f t="shared" si="227"/>
        <v>0</v>
      </c>
      <c r="BO43" s="102">
        <f t="shared" si="227"/>
        <v>0</v>
      </c>
      <c r="BP43" s="102">
        <f t="shared" si="227"/>
        <v>0</v>
      </c>
      <c r="BQ43" s="202">
        <f t="shared" si="227"/>
        <v>0</v>
      </c>
      <c r="BR43" s="165">
        <f>SUM(BR38:BR42)</f>
        <v>381</v>
      </c>
      <c r="BS43" s="100">
        <f t="shared" ref="BS43:CC43" si="228">SUM(BS38:BS42)</f>
        <v>328</v>
      </c>
      <c r="BT43" s="100">
        <f t="shared" si="228"/>
        <v>185</v>
      </c>
      <c r="BU43" s="102">
        <f t="shared" si="228"/>
        <v>164</v>
      </c>
      <c r="BV43" s="102">
        <f t="shared" si="228"/>
        <v>0</v>
      </c>
      <c r="BW43" s="102">
        <f t="shared" si="228"/>
        <v>0</v>
      </c>
      <c r="BX43" s="102">
        <f t="shared" si="228"/>
        <v>0</v>
      </c>
      <c r="BY43" s="102">
        <f t="shared" si="228"/>
        <v>0</v>
      </c>
      <c r="BZ43" s="102">
        <f t="shared" si="228"/>
        <v>0</v>
      </c>
      <c r="CA43" s="102">
        <f t="shared" si="228"/>
        <v>0</v>
      </c>
      <c r="CB43" s="102">
        <f t="shared" si="228"/>
        <v>0</v>
      </c>
      <c r="CC43" s="202">
        <f t="shared" si="228"/>
        <v>0</v>
      </c>
      <c r="CD43" s="165">
        <f>SUM(CD38:CD42)</f>
        <v>0</v>
      </c>
      <c r="CE43" s="100">
        <f t="shared" ref="CE43:CM43" si="229">SUM(CE38:CE42)</f>
        <v>0</v>
      </c>
      <c r="CF43" s="100">
        <f t="shared" si="229"/>
        <v>0</v>
      </c>
      <c r="CG43" s="102">
        <f t="shared" si="229"/>
        <v>0</v>
      </c>
      <c r="CH43" s="102">
        <f t="shared" si="229"/>
        <v>0</v>
      </c>
      <c r="CI43" s="102">
        <f t="shared" si="229"/>
        <v>0</v>
      </c>
      <c r="CJ43" s="102">
        <f t="shared" si="229"/>
        <v>0</v>
      </c>
      <c r="CK43" s="102">
        <f t="shared" si="229"/>
        <v>0</v>
      </c>
      <c r="CL43" s="102">
        <f t="shared" si="229"/>
        <v>0</v>
      </c>
      <c r="CM43" s="102">
        <f t="shared" si="229"/>
        <v>0</v>
      </c>
      <c r="CN43" s="102">
        <v>0</v>
      </c>
      <c r="CO43" s="202">
        <v>0</v>
      </c>
      <c r="CP43" s="165">
        <f t="shared" si="191"/>
        <v>0</v>
      </c>
      <c r="CQ43" s="102">
        <f t="shared" si="191"/>
        <v>0</v>
      </c>
      <c r="CR43" s="102">
        <f t="shared" si="191"/>
        <v>0</v>
      </c>
      <c r="CS43" s="102">
        <f t="shared" si="191"/>
        <v>0</v>
      </c>
      <c r="CT43" s="102">
        <f t="shared" si="191"/>
        <v>0</v>
      </c>
      <c r="CU43" s="102">
        <f t="shared" si="191"/>
        <v>0</v>
      </c>
      <c r="CV43" s="102">
        <f t="shared" si="191"/>
        <v>0</v>
      </c>
      <c r="CW43" s="102">
        <f t="shared" si="191"/>
        <v>0</v>
      </c>
      <c r="CX43" s="102">
        <f t="shared" si="191"/>
        <v>0</v>
      </c>
      <c r="CY43" s="102">
        <f t="shared" si="191"/>
        <v>0</v>
      </c>
      <c r="CZ43" s="102">
        <f t="shared" si="191"/>
        <v>0</v>
      </c>
      <c r="DA43" s="202">
        <f t="shared" si="191"/>
        <v>0</v>
      </c>
      <c r="DB43" s="165"/>
      <c r="DC43" s="100">
        <f>SUM(DC38:DC42)</f>
        <v>195</v>
      </c>
      <c r="DD43" s="100">
        <f t="shared" ref="DD43:DM43" si="230">SUM(DD38:DD42)</f>
        <v>303</v>
      </c>
      <c r="DE43" s="102">
        <f t="shared" si="230"/>
        <v>401</v>
      </c>
      <c r="DF43" s="102">
        <f t="shared" si="230"/>
        <v>326</v>
      </c>
      <c r="DG43" s="102">
        <v>262</v>
      </c>
      <c r="DH43" s="102">
        <f t="shared" si="230"/>
        <v>226</v>
      </c>
      <c r="DI43" s="102">
        <f t="shared" si="230"/>
        <v>195</v>
      </c>
      <c r="DJ43" s="102">
        <f t="shared" si="230"/>
        <v>183</v>
      </c>
      <c r="DK43" s="102">
        <f t="shared" si="230"/>
        <v>185</v>
      </c>
      <c r="DL43" s="102">
        <f t="shared" si="230"/>
        <v>202</v>
      </c>
      <c r="DM43" s="202">
        <f t="shared" si="230"/>
        <v>0</v>
      </c>
      <c r="DN43" s="165">
        <f>SUM(DN38:DN42)</f>
        <v>258</v>
      </c>
      <c r="DO43" s="102">
        <f t="shared" ref="DO43:DY43" si="231">SUM(DO38:DO42)</f>
        <v>195</v>
      </c>
      <c r="DP43" s="102">
        <f t="shared" si="231"/>
        <v>303</v>
      </c>
      <c r="DQ43" s="102">
        <f t="shared" si="231"/>
        <v>401</v>
      </c>
      <c r="DR43" s="102">
        <f t="shared" si="231"/>
        <v>326</v>
      </c>
      <c r="DS43" s="102">
        <f t="shared" si="231"/>
        <v>262</v>
      </c>
      <c r="DT43" s="102">
        <f t="shared" si="231"/>
        <v>226</v>
      </c>
      <c r="DU43" s="102">
        <f t="shared" si="231"/>
        <v>195</v>
      </c>
      <c r="DV43" s="102">
        <f t="shared" si="231"/>
        <v>183</v>
      </c>
      <c r="DW43" s="102">
        <f t="shared" si="231"/>
        <v>185</v>
      </c>
      <c r="DX43" s="102">
        <f t="shared" si="231"/>
        <v>202</v>
      </c>
      <c r="DY43" s="202">
        <f t="shared" si="231"/>
        <v>0</v>
      </c>
    </row>
    <row r="44" spans="1:129" x14ac:dyDescent="0.25">
      <c r="A44" s="187" t="s">
        <v>27</v>
      </c>
      <c r="B44" s="164"/>
      <c r="C44" s="94"/>
      <c r="D44" s="94"/>
      <c r="E44" s="94"/>
      <c r="F44" s="94"/>
      <c r="G44" s="94"/>
      <c r="H44" s="94"/>
      <c r="I44" s="94"/>
      <c r="J44" s="94"/>
      <c r="K44" s="94"/>
      <c r="L44" s="164"/>
      <c r="M44" s="94"/>
      <c r="N44" s="94"/>
      <c r="O44" s="94"/>
      <c r="P44" s="94"/>
      <c r="Q44" s="94"/>
      <c r="R44" s="94"/>
      <c r="S44" s="94"/>
      <c r="T44" s="94"/>
      <c r="U44" s="94"/>
      <c r="V44" s="94"/>
      <c r="W44" s="94"/>
      <c r="X44" s="164"/>
      <c r="Y44" s="94"/>
      <c r="Z44" s="94"/>
      <c r="AA44" s="94"/>
      <c r="AB44" s="94"/>
      <c r="AC44" s="94"/>
      <c r="AD44" s="94"/>
      <c r="AE44" s="94"/>
      <c r="AF44" s="94"/>
      <c r="AG44" s="95"/>
      <c r="AH44" s="164"/>
      <c r="AI44" s="94"/>
      <c r="AJ44" s="94"/>
      <c r="AK44" s="94"/>
      <c r="AL44" s="94"/>
      <c r="AM44" s="94"/>
      <c r="AN44" s="94"/>
      <c r="AO44" s="94"/>
      <c r="AP44" s="94"/>
      <c r="AQ44" s="94"/>
      <c r="AR44" s="94"/>
      <c r="AS44" s="95"/>
      <c r="AT44" s="164"/>
      <c r="AU44" s="94"/>
      <c r="AV44" s="94"/>
      <c r="AW44" s="94"/>
      <c r="AX44" s="94"/>
      <c r="AY44" s="94"/>
      <c r="AZ44" s="94"/>
      <c r="BA44" s="94"/>
      <c r="BB44" s="94"/>
      <c r="BC44" s="94"/>
      <c r="BD44" s="94"/>
      <c r="BE44" s="95"/>
      <c r="BF44" s="164"/>
      <c r="BG44" s="94"/>
      <c r="BH44" s="94"/>
      <c r="BI44" s="94"/>
      <c r="BJ44" s="94"/>
      <c r="BK44" s="94"/>
      <c r="BL44" s="94"/>
      <c r="BM44" s="94"/>
      <c r="BN44" s="94"/>
      <c r="BO44" s="94"/>
      <c r="BP44" s="94"/>
      <c r="BQ44" s="95"/>
      <c r="BR44" s="164"/>
      <c r="BS44" s="94"/>
      <c r="BT44" s="94"/>
      <c r="BU44" s="94"/>
      <c r="BV44" s="94"/>
      <c r="BW44" s="94"/>
      <c r="BX44" s="94"/>
      <c r="BY44" s="94"/>
      <c r="BZ44" s="94"/>
      <c r="CA44" s="94"/>
      <c r="CB44" s="94"/>
      <c r="CC44" s="95"/>
      <c r="CD44" s="164"/>
      <c r="CE44" s="94"/>
      <c r="CF44" s="94"/>
      <c r="CG44" s="94"/>
      <c r="CH44" s="94"/>
      <c r="CI44" s="94"/>
      <c r="CJ44" s="94"/>
      <c r="CK44" s="94"/>
      <c r="CL44" s="94"/>
      <c r="CM44" s="94"/>
      <c r="CN44" s="94"/>
      <c r="CO44" s="95"/>
      <c r="CP44" s="164"/>
      <c r="CQ44" s="94"/>
      <c r="CR44" s="94"/>
      <c r="CS44" s="94"/>
      <c r="CT44" s="94"/>
      <c r="CU44" s="94"/>
      <c r="CV44" s="94"/>
      <c r="CW44" s="94"/>
      <c r="CX44" s="94"/>
      <c r="CY44" s="94"/>
      <c r="CZ44" s="94"/>
      <c r="DA44" s="95"/>
      <c r="DB44" s="164"/>
      <c r="DC44" s="94"/>
      <c r="DD44" s="94"/>
      <c r="DE44" s="94"/>
      <c r="DF44" s="94"/>
      <c r="DG44" s="94"/>
      <c r="DH44" s="94"/>
      <c r="DI44" s="94"/>
      <c r="DJ44" s="94"/>
      <c r="DK44" s="94"/>
      <c r="DL44" s="94"/>
      <c r="DM44" s="95"/>
      <c r="DN44" s="164"/>
      <c r="DO44" s="94"/>
      <c r="DP44" s="94"/>
      <c r="DQ44" s="94"/>
      <c r="DR44" s="94"/>
      <c r="DS44" s="94"/>
      <c r="DT44" s="94"/>
      <c r="DU44" s="94"/>
      <c r="DV44" s="94"/>
      <c r="DW44" s="94"/>
      <c r="DX44" s="94"/>
      <c r="DY44" s="95"/>
    </row>
    <row r="45" spans="1:129" x14ac:dyDescent="0.25">
      <c r="A45" s="188" t="s">
        <v>34</v>
      </c>
      <c r="B45" s="168">
        <v>141577.26</v>
      </c>
      <c r="C45" s="104">
        <v>84.49</v>
      </c>
      <c r="D45" s="104">
        <v>48209.3</v>
      </c>
      <c r="E45" s="104">
        <v>-4028.61</v>
      </c>
      <c r="F45" s="104">
        <v>7213.76</v>
      </c>
      <c r="G45" s="104">
        <v>3670.91</v>
      </c>
      <c r="H45" s="104">
        <v>-5412.36</v>
      </c>
      <c r="I45" s="104">
        <v>1885.4</v>
      </c>
      <c r="J45" s="104">
        <v>-4797.9799999999996</v>
      </c>
      <c r="K45" s="104">
        <v>28456.61</v>
      </c>
      <c r="L45" s="168">
        <v>35046.68</v>
      </c>
      <c r="M45" s="104">
        <v>9775.57</v>
      </c>
      <c r="N45" s="104">
        <v>78042.3</v>
      </c>
      <c r="O45" s="104">
        <v>-798.76</v>
      </c>
      <c r="P45" s="104">
        <v>35270.99</v>
      </c>
      <c r="Q45" s="104">
        <v>-311.85000000000002</v>
      </c>
      <c r="R45" s="104">
        <v>4479.5600000000004</v>
      </c>
      <c r="S45" s="104">
        <v>2241.65</v>
      </c>
      <c r="T45" s="104">
        <v>-3479.51</v>
      </c>
      <c r="U45" s="104">
        <v>5325.27</v>
      </c>
      <c r="V45" s="104">
        <v>-3478.77</v>
      </c>
      <c r="W45" s="104">
        <v>20562.13</v>
      </c>
      <c r="X45" s="168">
        <f t="shared" ref="X45:AG49" si="232">B45-N45</f>
        <v>63534.960000000006</v>
      </c>
      <c r="Y45" s="104">
        <f t="shared" si="232"/>
        <v>883.25</v>
      </c>
      <c r="Z45" s="104">
        <f t="shared" si="232"/>
        <v>12938.310000000005</v>
      </c>
      <c r="AA45" s="104">
        <f t="shared" si="232"/>
        <v>-3716.76</v>
      </c>
      <c r="AB45" s="104">
        <f t="shared" si="232"/>
        <v>2734.2</v>
      </c>
      <c r="AC45" s="104">
        <f t="shared" si="232"/>
        <v>1429.2599999999998</v>
      </c>
      <c r="AD45" s="104">
        <f t="shared" si="232"/>
        <v>-1932.8499999999995</v>
      </c>
      <c r="AE45" s="104">
        <f t="shared" si="232"/>
        <v>-3439.8700000000003</v>
      </c>
      <c r="AF45" s="104">
        <f t="shared" si="232"/>
        <v>-1319.2099999999996</v>
      </c>
      <c r="AG45" s="106">
        <f t="shared" si="232"/>
        <v>7894.48</v>
      </c>
      <c r="AH45" s="168">
        <v>50689.61</v>
      </c>
      <c r="AI45" s="104">
        <v>24245.16</v>
      </c>
      <c r="AJ45" s="104">
        <v>103832.01</v>
      </c>
      <c r="AK45" s="104">
        <v>-2644.5</v>
      </c>
      <c r="AL45" s="104">
        <v>47482.68</v>
      </c>
      <c r="AM45" s="104">
        <v>12070.64</v>
      </c>
      <c r="AN45" s="104">
        <v>-1352.37</v>
      </c>
      <c r="AO45" s="104">
        <v>6611.02</v>
      </c>
      <c r="AP45" s="104">
        <v>-6794.58</v>
      </c>
      <c r="AQ45" s="104">
        <v>1053.53</v>
      </c>
      <c r="AR45" s="104">
        <v>-7345.42</v>
      </c>
      <c r="AS45" s="106">
        <v>40141.51</v>
      </c>
      <c r="AT45" s="168">
        <f>L45-AH45</f>
        <v>-15642.93</v>
      </c>
      <c r="AU45" s="104">
        <f t="shared" ref="AU45:BE49" si="233">M45-AI45</f>
        <v>-14469.59</v>
      </c>
      <c r="AV45" s="104">
        <f t="shared" si="233"/>
        <v>-25789.709999999992</v>
      </c>
      <c r="AW45" s="104">
        <f t="shared" si="233"/>
        <v>1845.74</v>
      </c>
      <c r="AX45" s="104">
        <f t="shared" si="233"/>
        <v>-12211.690000000002</v>
      </c>
      <c r="AY45" s="104">
        <f t="shared" si="233"/>
        <v>-12382.49</v>
      </c>
      <c r="AZ45" s="104">
        <f t="shared" si="233"/>
        <v>5831.93</v>
      </c>
      <c r="BA45" s="104">
        <f t="shared" si="233"/>
        <v>-4369.3700000000008</v>
      </c>
      <c r="BB45" s="104">
        <f t="shared" si="233"/>
        <v>3315.0699999999997</v>
      </c>
      <c r="BC45" s="104">
        <f t="shared" si="233"/>
        <v>4271.7400000000007</v>
      </c>
      <c r="BD45" s="104">
        <f t="shared" si="233"/>
        <v>3866.65</v>
      </c>
      <c r="BE45" s="106">
        <f t="shared" si="233"/>
        <v>-19579.38</v>
      </c>
      <c r="BF45" s="168">
        <v>55531.94</v>
      </c>
      <c r="BG45" s="104">
        <v>25074.92</v>
      </c>
      <c r="BH45" s="104">
        <v>156541.60999999999</v>
      </c>
      <c r="BI45" s="104">
        <v>-1556.62</v>
      </c>
      <c r="BJ45" s="104">
        <v>52367.59</v>
      </c>
      <c r="BK45" s="104">
        <v>-3178.6</v>
      </c>
      <c r="BL45" s="104">
        <v>19645.3</v>
      </c>
      <c r="BM45" s="104">
        <v>11615.97</v>
      </c>
      <c r="BN45" s="104">
        <v>-13178.47</v>
      </c>
      <c r="BO45" s="104">
        <v>8255.7199999999993</v>
      </c>
      <c r="BP45" s="104">
        <v>-5004.0600000000004</v>
      </c>
      <c r="BQ45" s="106">
        <v>65247.12</v>
      </c>
      <c r="BR45" s="168">
        <f t="shared" ref="BR45:BR49" si="234">AH45-BF45</f>
        <v>-4842.3300000000017</v>
      </c>
      <c r="BS45" s="104">
        <f t="shared" ref="BS45:BS49" si="235">AI45-BG45</f>
        <v>-829.7599999999984</v>
      </c>
      <c r="BT45" s="104">
        <f t="shared" ref="BT45:BT49" si="236">AJ45-BH45</f>
        <v>-52709.599999999991</v>
      </c>
      <c r="BU45" s="104">
        <f t="shared" ref="BU45:BU49" si="237">AK45-BI45</f>
        <v>-1087.8800000000001</v>
      </c>
      <c r="BV45" s="104">
        <f t="shared" ref="BV45:BV49" si="238">AL45-BJ45</f>
        <v>-4884.9099999999962</v>
      </c>
      <c r="BW45" s="104">
        <f t="shared" ref="BW45:BW49" si="239">AM45-BK45</f>
        <v>15249.24</v>
      </c>
      <c r="BX45" s="104">
        <f t="shared" ref="BX45:BX49" si="240">AN45-BL45</f>
        <v>-20997.67</v>
      </c>
      <c r="BY45" s="104">
        <f t="shared" ref="BY45:BY49" si="241">AO45-BM45</f>
        <v>-5004.9499999999989</v>
      </c>
      <c r="BZ45" s="104">
        <f t="shared" ref="BZ45:BZ49" si="242">AP45-BN45</f>
        <v>6383.8899999999994</v>
      </c>
      <c r="CA45" s="104">
        <f t="shared" ref="CA45:CA49" si="243">AQ45-BO45</f>
        <v>-7202.19</v>
      </c>
      <c r="CB45" s="104">
        <f t="shared" ref="CB45:CB49" si="244">AR45-BP45</f>
        <v>-2341.3599999999997</v>
      </c>
      <c r="CC45" s="106">
        <f t="shared" ref="CC45:CC49" si="245">AS45-BQ45</f>
        <v>-25105.61</v>
      </c>
      <c r="CD45" s="168">
        <v>91974.91</v>
      </c>
      <c r="CE45" s="104">
        <v>37196.74</v>
      </c>
      <c r="CF45" s="104">
        <v>121314.85</v>
      </c>
      <c r="CG45" s="104">
        <v>-2392.91</v>
      </c>
      <c r="CH45" s="104">
        <v>38667.050000000003</v>
      </c>
      <c r="CI45" s="104">
        <v>-4507.51</v>
      </c>
      <c r="CJ45" s="104">
        <v>14932.05</v>
      </c>
      <c r="CK45" s="104">
        <v>7790.83</v>
      </c>
      <c r="CL45" s="104">
        <v>-8585.8700000000008</v>
      </c>
      <c r="CM45" s="104">
        <v>0</v>
      </c>
      <c r="CN45" s="104">
        <f>43600.58+2832.8</f>
        <v>46433.380000000005</v>
      </c>
      <c r="CO45" s="106">
        <v>161.55000000000001</v>
      </c>
      <c r="CP45" s="104">
        <f t="shared" ref="CP45:DA50" si="246">CD45-BF45</f>
        <v>36442.97</v>
      </c>
      <c r="CQ45" s="104">
        <f t="shared" si="246"/>
        <v>12121.82</v>
      </c>
      <c r="CR45" s="104">
        <f t="shared" si="246"/>
        <v>-35226.75999999998</v>
      </c>
      <c r="CS45" s="104">
        <f t="shared" si="246"/>
        <v>-836.29</v>
      </c>
      <c r="CT45" s="104">
        <f t="shared" si="246"/>
        <v>-13700.539999999994</v>
      </c>
      <c r="CU45" s="104">
        <f t="shared" si="246"/>
        <v>-1328.9100000000003</v>
      </c>
      <c r="CV45" s="104">
        <f t="shared" si="246"/>
        <v>-4713.25</v>
      </c>
      <c r="CW45" s="104">
        <f t="shared" si="246"/>
        <v>-3825.1399999999994</v>
      </c>
      <c r="CX45" s="104">
        <f t="shared" si="246"/>
        <v>4592.5999999999985</v>
      </c>
      <c r="CY45" s="104">
        <f t="shared" si="246"/>
        <v>-8255.7199999999993</v>
      </c>
      <c r="CZ45" s="104">
        <f t="shared" si="246"/>
        <v>51437.440000000002</v>
      </c>
      <c r="DA45" s="106">
        <f t="shared" si="246"/>
        <v>-65085.57</v>
      </c>
      <c r="DB45" s="168">
        <f>664.95+10464.5</f>
        <v>11129.45</v>
      </c>
      <c r="DC45" s="104">
        <v>56300.76</v>
      </c>
      <c r="DD45" s="104">
        <v>27537.95</v>
      </c>
      <c r="DE45" s="104">
        <v>24989.7</v>
      </c>
      <c r="DF45" s="104">
        <f>1446.22+13516.52</f>
        <v>14962.74</v>
      </c>
      <c r="DG45" s="104">
        <v>13089.42</v>
      </c>
      <c r="DH45" s="104">
        <v>8294.7799999999988</v>
      </c>
      <c r="DI45" s="104">
        <v>5225.9000000000005</v>
      </c>
      <c r="DJ45" s="104">
        <v>5203.0700000000006</v>
      </c>
      <c r="DK45" s="104">
        <v>5014.3900000000003</v>
      </c>
      <c r="DL45" s="104">
        <v>7555.9</v>
      </c>
      <c r="DM45" s="106"/>
      <c r="DN45" s="104">
        <f>DB45-CD45</f>
        <v>-80845.460000000006</v>
      </c>
      <c r="DO45" s="104">
        <f t="shared" ref="DO45:DY49" si="247">DC45-CE45</f>
        <v>19104.020000000004</v>
      </c>
      <c r="DP45" s="104">
        <f t="shared" si="247"/>
        <v>-93776.900000000009</v>
      </c>
      <c r="DQ45" s="104">
        <f t="shared" si="247"/>
        <v>27382.61</v>
      </c>
      <c r="DR45" s="104">
        <f t="shared" si="247"/>
        <v>-23704.310000000005</v>
      </c>
      <c r="DS45" s="104">
        <f t="shared" si="247"/>
        <v>17596.93</v>
      </c>
      <c r="DT45" s="104">
        <f t="shared" si="247"/>
        <v>-6637.27</v>
      </c>
      <c r="DU45" s="104">
        <f t="shared" si="247"/>
        <v>-2564.9299999999994</v>
      </c>
      <c r="DV45" s="104">
        <f t="shared" si="247"/>
        <v>13788.940000000002</v>
      </c>
      <c r="DW45" s="104">
        <f t="shared" si="247"/>
        <v>5014.3900000000003</v>
      </c>
      <c r="DX45" s="104">
        <f t="shared" si="247"/>
        <v>-38877.480000000003</v>
      </c>
      <c r="DY45" s="106">
        <f t="shared" si="247"/>
        <v>-161.55000000000001</v>
      </c>
    </row>
    <row r="46" spans="1:129" x14ac:dyDescent="0.25">
      <c r="A46" s="188" t="s">
        <v>35</v>
      </c>
      <c r="B46" s="168">
        <v>14673.31</v>
      </c>
      <c r="C46" s="104">
        <v>-761.92</v>
      </c>
      <c r="D46" s="104">
        <v>-1414.08</v>
      </c>
      <c r="E46" s="104">
        <v>-1204.1199999999999</v>
      </c>
      <c r="F46" s="104">
        <v>-969.96</v>
      </c>
      <c r="G46" s="104">
        <v>144.02000000000001</v>
      </c>
      <c r="H46" s="104">
        <v>-257.49</v>
      </c>
      <c r="I46" s="104">
        <v>487.34</v>
      </c>
      <c r="J46" s="104">
        <v>-25</v>
      </c>
      <c r="K46" s="104">
        <v>5303.61</v>
      </c>
      <c r="L46" s="168">
        <v>7517.17</v>
      </c>
      <c r="M46" s="104">
        <v>1129.8800000000001</v>
      </c>
      <c r="N46" s="104">
        <v>3878.08</v>
      </c>
      <c r="O46" s="104">
        <v>-475</v>
      </c>
      <c r="P46" s="104">
        <v>1634.49</v>
      </c>
      <c r="Q46" s="104">
        <v>-441.15</v>
      </c>
      <c r="R46" s="104">
        <v>906.69</v>
      </c>
      <c r="S46" s="104">
        <v>877.58</v>
      </c>
      <c r="T46" s="104">
        <v>-1316.29</v>
      </c>
      <c r="U46" s="104">
        <v>569.14</v>
      </c>
      <c r="V46" s="104">
        <v>-105.45</v>
      </c>
      <c r="W46" s="104">
        <v>4100.3500000000004</v>
      </c>
      <c r="X46" s="168">
        <f t="shared" si="232"/>
        <v>10795.23</v>
      </c>
      <c r="Y46" s="104">
        <f t="shared" si="232"/>
        <v>-286.91999999999996</v>
      </c>
      <c r="Z46" s="104">
        <f t="shared" si="232"/>
        <v>-3048.5699999999997</v>
      </c>
      <c r="AA46" s="104">
        <f t="shared" si="232"/>
        <v>-762.96999999999991</v>
      </c>
      <c r="AB46" s="104">
        <f t="shared" si="232"/>
        <v>-1876.65</v>
      </c>
      <c r="AC46" s="104">
        <f t="shared" si="232"/>
        <v>-733.56000000000006</v>
      </c>
      <c r="AD46" s="104">
        <f t="shared" si="232"/>
        <v>1058.8</v>
      </c>
      <c r="AE46" s="104">
        <f t="shared" si="232"/>
        <v>-81.800000000000011</v>
      </c>
      <c r="AF46" s="104">
        <f t="shared" si="232"/>
        <v>80.45</v>
      </c>
      <c r="AG46" s="106">
        <f t="shared" si="232"/>
        <v>1203.2599999999993</v>
      </c>
      <c r="AH46" s="168">
        <v>9495.69</v>
      </c>
      <c r="AI46" s="104">
        <v>8519.23</v>
      </c>
      <c r="AJ46" s="104">
        <v>9692.64</v>
      </c>
      <c r="AK46" s="104">
        <v>1424.6</v>
      </c>
      <c r="AL46" s="104">
        <v>2123.44</v>
      </c>
      <c r="AM46" s="104">
        <v>-4861.17</v>
      </c>
      <c r="AN46" s="104">
        <v>190.12</v>
      </c>
      <c r="AO46" s="104">
        <v>-297.86</v>
      </c>
      <c r="AP46" s="104">
        <v>-2518.56</v>
      </c>
      <c r="AQ46" s="104">
        <v>78.89</v>
      </c>
      <c r="AR46" s="104">
        <v>-66.41</v>
      </c>
      <c r="AS46" s="106">
        <v>784.69</v>
      </c>
      <c r="AT46" s="168">
        <f t="shared" ref="AT46:AT49" si="248">L46-AH46</f>
        <v>-1978.5200000000004</v>
      </c>
      <c r="AU46" s="104">
        <f t="shared" si="233"/>
        <v>-7389.3499999999995</v>
      </c>
      <c r="AV46" s="104">
        <f t="shared" si="233"/>
        <v>-5814.5599999999995</v>
      </c>
      <c r="AW46" s="104">
        <f t="shared" si="233"/>
        <v>-1899.6</v>
      </c>
      <c r="AX46" s="104">
        <f t="shared" si="233"/>
        <v>-488.95000000000005</v>
      </c>
      <c r="AY46" s="104">
        <f t="shared" si="233"/>
        <v>4420.0200000000004</v>
      </c>
      <c r="AZ46" s="104">
        <f t="shared" si="233"/>
        <v>716.57</v>
      </c>
      <c r="BA46" s="104">
        <f t="shared" si="233"/>
        <v>1175.44</v>
      </c>
      <c r="BB46" s="104">
        <f t="shared" si="233"/>
        <v>1202.27</v>
      </c>
      <c r="BC46" s="104">
        <f t="shared" si="233"/>
        <v>490.25</v>
      </c>
      <c r="BD46" s="104">
        <f t="shared" si="233"/>
        <v>-39.040000000000006</v>
      </c>
      <c r="BE46" s="106">
        <f t="shared" si="233"/>
        <v>3315.6600000000003</v>
      </c>
      <c r="BF46" s="168">
        <v>-2799.13</v>
      </c>
      <c r="BG46" s="104">
        <v>341.54</v>
      </c>
      <c r="BH46" s="104">
        <v>10181.950000000001</v>
      </c>
      <c r="BI46" s="104">
        <v>-521.44000000000005</v>
      </c>
      <c r="BJ46" s="104">
        <v>2201.67</v>
      </c>
      <c r="BK46" s="104">
        <v>-14519.87</v>
      </c>
      <c r="BL46" s="104">
        <v>-7964.1</v>
      </c>
      <c r="BM46" s="104">
        <v>-146.09</v>
      </c>
      <c r="BN46" s="104">
        <v>-4074.38</v>
      </c>
      <c r="BO46" s="104">
        <v>-3574.16</v>
      </c>
      <c r="BP46" s="104">
        <v>-8.31</v>
      </c>
      <c r="BQ46" s="106">
        <v>2983.81</v>
      </c>
      <c r="BR46" s="168">
        <f t="shared" si="234"/>
        <v>12294.82</v>
      </c>
      <c r="BS46" s="104">
        <f t="shared" si="235"/>
        <v>8177.69</v>
      </c>
      <c r="BT46" s="104">
        <f t="shared" si="236"/>
        <v>-489.31000000000131</v>
      </c>
      <c r="BU46" s="104">
        <f t="shared" si="237"/>
        <v>1946.04</v>
      </c>
      <c r="BV46" s="104">
        <f t="shared" si="238"/>
        <v>-78.230000000000018</v>
      </c>
      <c r="BW46" s="104">
        <f t="shared" si="239"/>
        <v>9658.7000000000007</v>
      </c>
      <c r="BX46" s="104">
        <f t="shared" si="240"/>
        <v>8154.22</v>
      </c>
      <c r="BY46" s="104">
        <f t="shared" si="241"/>
        <v>-151.77000000000001</v>
      </c>
      <c r="BZ46" s="104">
        <f t="shared" si="242"/>
        <v>1555.8200000000002</v>
      </c>
      <c r="CA46" s="104">
        <f t="shared" si="243"/>
        <v>3653.0499999999997</v>
      </c>
      <c r="CB46" s="104">
        <f t="shared" si="244"/>
        <v>-58.099999999999994</v>
      </c>
      <c r="CC46" s="106">
        <f t="shared" si="245"/>
        <v>-2199.12</v>
      </c>
      <c r="CD46" s="168">
        <v>10820.75</v>
      </c>
      <c r="CE46" s="104">
        <v>5564.55</v>
      </c>
      <c r="CF46" s="104">
        <v>9523.86</v>
      </c>
      <c r="CG46" s="104">
        <v>-2414.25</v>
      </c>
      <c r="CH46" s="104">
        <v>-4065.1</v>
      </c>
      <c r="CI46" s="104">
        <v>999.65</v>
      </c>
      <c r="CJ46" s="104">
        <v>-4733</v>
      </c>
      <c r="CK46" s="104">
        <v>124.69</v>
      </c>
      <c r="CL46" s="104">
        <v>-3607.98</v>
      </c>
      <c r="CM46" s="104">
        <v>0</v>
      </c>
      <c r="CN46" s="104">
        <v>12014.56</v>
      </c>
      <c r="CO46" s="106">
        <v>0</v>
      </c>
      <c r="CP46" s="104">
        <f t="shared" si="246"/>
        <v>13619.880000000001</v>
      </c>
      <c r="CQ46" s="104">
        <f t="shared" si="246"/>
        <v>5223.01</v>
      </c>
      <c r="CR46" s="104">
        <f t="shared" si="246"/>
        <v>-658.09000000000015</v>
      </c>
      <c r="CS46" s="104">
        <f t="shared" si="246"/>
        <v>-1892.81</v>
      </c>
      <c r="CT46" s="104">
        <f t="shared" si="246"/>
        <v>-6266.77</v>
      </c>
      <c r="CU46" s="104">
        <f t="shared" si="246"/>
        <v>15519.52</v>
      </c>
      <c r="CV46" s="104">
        <f t="shared" si="246"/>
        <v>3231.1000000000004</v>
      </c>
      <c r="CW46" s="104">
        <f t="shared" si="246"/>
        <v>270.77999999999997</v>
      </c>
      <c r="CX46" s="104">
        <f t="shared" si="246"/>
        <v>466.40000000000009</v>
      </c>
      <c r="CY46" s="104">
        <f t="shared" si="246"/>
        <v>3574.16</v>
      </c>
      <c r="CZ46" s="104">
        <f t="shared" si="246"/>
        <v>12022.869999999999</v>
      </c>
      <c r="DA46" s="106">
        <f t="shared" si="246"/>
        <v>-2983.81</v>
      </c>
      <c r="DB46" s="168">
        <f>2115.75+36.08</f>
        <v>2151.83</v>
      </c>
      <c r="DC46" s="104">
        <v>16097.38</v>
      </c>
      <c r="DD46" s="104">
        <v>7724.41</v>
      </c>
      <c r="DE46" s="104">
        <v>9203.6299999999992</v>
      </c>
      <c r="DF46" s="104">
        <f>132.54+5477.51</f>
        <v>5610.05</v>
      </c>
      <c r="DG46" s="104">
        <v>5078.8900000000003</v>
      </c>
      <c r="DH46" s="104">
        <v>3674.54</v>
      </c>
      <c r="DI46" s="104">
        <v>1472.41</v>
      </c>
      <c r="DJ46" s="104">
        <v>1472.41</v>
      </c>
      <c r="DK46" s="104">
        <v>1470.03</v>
      </c>
      <c r="DL46" s="104">
        <v>1160.79</v>
      </c>
      <c r="DM46" s="106"/>
      <c r="DN46" s="104">
        <f t="shared" ref="DN46:DN49" si="249">DB46-CD46</f>
        <v>-8668.92</v>
      </c>
      <c r="DO46" s="104">
        <f t="shared" si="247"/>
        <v>10532.829999999998</v>
      </c>
      <c r="DP46" s="104">
        <f t="shared" si="247"/>
        <v>-1799.4500000000007</v>
      </c>
      <c r="DQ46" s="104">
        <f t="shared" si="247"/>
        <v>11617.88</v>
      </c>
      <c r="DR46" s="104">
        <f t="shared" si="247"/>
        <v>9675.15</v>
      </c>
      <c r="DS46" s="104">
        <f t="shared" si="247"/>
        <v>4079.2400000000002</v>
      </c>
      <c r="DT46" s="104">
        <f t="shared" si="247"/>
        <v>8407.5400000000009</v>
      </c>
      <c r="DU46" s="104">
        <f t="shared" si="247"/>
        <v>1347.72</v>
      </c>
      <c r="DV46" s="104">
        <f t="shared" si="247"/>
        <v>5080.3900000000003</v>
      </c>
      <c r="DW46" s="104">
        <f t="shared" si="247"/>
        <v>1470.03</v>
      </c>
      <c r="DX46" s="104">
        <f t="shared" si="247"/>
        <v>-10853.77</v>
      </c>
      <c r="DY46" s="106">
        <f t="shared" si="247"/>
        <v>0</v>
      </c>
    </row>
    <row r="47" spans="1:129" x14ac:dyDescent="0.25">
      <c r="A47" s="188" t="s">
        <v>36</v>
      </c>
      <c r="B47" s="168">
        <v>11721.1</v>
      </c>
      <c r="C47" s="104">
        <v>44.66</v>
      </c>
      <c r="D47" s="104">
        <v>4688.62</v>
      </c>
      <c r="E47" s="104">
        <v>-368.83</v>
      </c>
      <c r="F47" s="104">
        <v>1359.1</v>
      </c>
      <c r="G47" s="104">
        <v>2033.68</v>
      </c>
      <c r="H47" s="104">
        <v>-7367.34</v>
      </c>
      <c r="I47" s="104">
        <v>1410.45</v>
      </c>
      <c r="J47" s="104">
        <v>-646.51</v>
      </c>
      <c r="K47" s="104">
        <v>3841.44</v>
      </c>
      <c r="L47" s="168">
        <v>8955.39</v>
      </c>
      <c r="M47" s="104">
        <v>-3025.57</v>
      </c>
      <c r="N47" s="104">
        <v>9201.73</v>
      </c>
      <c r="O47" s="104">
        <v>-310.51</v>
      </c>
      <c r="P47" s="104">
        <v>5616.01</v>
      </c>
      <c r="Q47" s="104">
        <v>-544.37</v>
      </c>
      <c r="R47" s="104">
        <v>618.61</v>
      </c>
      <c r="S47" s="104">
        <v>1624.03</v>
      </c>
      <c r="T47" s="104">
        <v>-428.81</v>
      </c>
      <c r="U47" s="104">
        <v>783.28</v>
      </c>
      <c r="V47" s="104">
        <v>-391.89</v>
      </c>
      <c r="W47" s="104">
        <v>4765.71</v>
      </c>
      <c r="X47" s="168">
        <f t="shared" si="232"/>
        <v>2519.3700000000008</v>
      </c>
      <c r="Y47" s="104">
        <f t="shared" si="232"/>
        <v>355.16999999999996</v>
      </c>
      <c r="Z47" s="104">
        <f t="shared" si="232"/>
        <v>-927.39000000000033</v>
      </c>
      <c r="AA47" s="104">
        <f t="shared" si="232"/>
        <v>175.54000000000002</v>
      </c>
      <c r="AB47" s="104">
        <f t="shared" si="232"/>
        <v>740.4899999999999</v>
      </c>
      <c r="AC47" s="104">
        <f t="shared" si="232"/>
        <v>409.65000000000009</v>
      </c>
      <c r="AD47" s="104">
        <f t="shared" si="232"/>
        <v>-6938.53</v>
      </c>
      <c r="AE47" s="104">
        <f t="shared" si="232"/>
        <v>627.17000000000007</v>
      </c>
      <c r="AF47" s="104">
        <f t="shared" si="232"/>
        <v>-254.62</v>
      </c>
      <c r="AG47" s="106">
        <f t="shared" si="232"/>
        <v>-924.27</v>
      </c>
      <c r="AH47" s="168">
        <v>17030.150000000001</v>
      </c>
      <c r="AI47" s="104">
        <v>2143.12</v>
      </c>
      <c r="AJ47" s="104">
        <v>30792.28</v>
      </c>
      <c r="AK47" s="104">
        <v>7935.02</v>
      </c>
      <c r="AL47" s="104">
        <v>-5111.16</v>
      </c>
      <c r="AM47" s="104">
        <v>1386.6</v>
      </c>
      <c r="AN47" s="104">
        <v>-990.7</v>
      </c>
      <c r="AO47" s="104">
        <v>2457.21</v>
      </c>
      <c r="AP47" s="104">
        <v>-119.07</v>
      </c>
      <c r="AQ47" s="104">
        <v>2417.77</v>
      </c>
      <c r="AR47" s="104">
        <v>-129.97999999999999</v>
      </c>
      <c r="AS47" s="106">
        <v>30657.23</v>
      </c>
      <c r="AT47" s="168">
        <f t="shared" si="248"/>
        <v>-8074.760000000002</v>
      </c>
      <c r="AU47" s="104">
        <f t="shared" si="233"/>
        <v>-5168.6900000000005</v>
      </c>
      <c r="AV47" s="104">
        <f t="shared" si="233"/>
        <v>-21590.55</v>
      </c>
      <c r="AW47" s="104">
        <f t="shared" si="233"/>
        <v>-8245.5300000000007</v>
      </c>
      <c r="AX47" s="104">
        <f t="shared" si="233"/>
        <v>10727.17</v>
      </c>
      <c r="AY47" s="104">
        <f t="shared" si="233"/>
        <v>-1930.9699999999998</v>
      </c>
      <c r="AZ47" s="104">
        <f t="shared" si="233"/>
        <v>1609.31</v>
      </c>
      <c r="BA47" s="104">
        <f t="shared" si="233"/>
        <v>-833.18000000000006</v>
      </c>
      <c r="BB47" s="104">
        <f t="shared" si="233"/>
        <v>-309.74</v>
      </c>
      <c r="BC47" s="104">
        <f t="shared" si="233"/>
        <v>-1634.49</v>
      </c>
      <c r="BD47" s="104">
        <f t="shared" si="233"/>
        <v>-261.90999999999997</v>
      </c>
      <c r="BE47" s="106">
        <f t="shared" si="233"/>
        <v>-25891.52</v>
      </c>
      <c r="BF47" s="168">
        <v>10100.23</v>
      </c>
      <c r="BG47" s="104">
        <v>4580.88</v>
      </c>
      <c r="BH47" s="104">
        <v>12419.05</v>
      </c>
      <c r="BI47" s="104">
        <v>-73.89</v>
      </c>
      <c r="BJ47" s="104">
        <v>17087.849999999999</v>
      </c>
      <c r="BK47" s="104">
        <v>-220.06</v>
      </c>
      <c r="BL47" s="104">
        <v>9205.65</v>
      </c>
      <c r="BM47" s="104">
        <v>729.77</v>
      </c>
      <c r="BN47" s="104">
        <v>7.52</v>
      </c>
      <c r="BO47" s="104">
        <v>3616.12</v>
      </c>
      <c r="BP47" s="104">
        <v>-486.74</v>
      </c>
      <c r="BQ47" s="106">
        <v>14688.82</v>
      </c>
      <c r="BR47" s="168">
        <f t="shared" si="234"/>
        <v>6929.9200000000019</v>
      </c>
      <c r="BS47" s="104">
        <f t="shared" si="235"/>
        <v>-2437.7600000000002</v>
      </c>
      <c r="BT47" s="104">
        <f t="shared" si="236"/>
        <v>18373.23</v>
      </c>
      <c r="BU47" s="104">
        <f t="shared" si="237"/>
        <v>8008.9100000000008</v>
      </c>
      <c r="BV47" s="104">
        <f t="shared" si="238"/>
        <v>-22199.01</v>
      </c>
      <c r="BW47" s="104">
        <f t="shared" si="239"/>
        <v>1606.6599999999999</v>
      </c>
      <c r="BX47" s="104">
        <f t="shared" si="240"/>
        <v>-10196.35</v>
      </c>
      <c r="BY47" s="104">
        <f t="shared" si="241"/>
        <v>1727.44</v>
      </c>
      <c r="BZ47" s="104">
        <f t="shared" si="242"/>
        <v>-126.58999999999999</v>
      </c>
      <c r="CA47" s="104">
        <f t="shared" si="243"/>
        <v>-1198.3499999999999</v>
      </c>
      <c r="CB47" s="104">
        <f t="shared" si="244"/>
        <v>356.76</v>
      </c>
      <c r="CC47" s="106">
        <f t="shared" si="245"/>
        <v>15968.41</v>
      </c>
      <c r="CD47" s="168">
        <v>22353.34</v>
      </c>
      <c r="CE47" s="104">
        <v>4593.37</v>
      </c>
      <c r="CF47" s="104">
        <v>14983.73</v>
      </c>
      <c r="CG47" s="104">
        <v>-239.49</v>
      </c>
      <c r="CH47" s="104">
        <v>12381.11</v>
      </c>
      <c r="CI47" s="104">
        <v>-4765.43</v>
      </c>
      <c r="CJ47" s="104">
        <v>6436.04</v>
      </c>
      <c r="CK47" s="104">
        <v>3599.67</v>
      </c>
      <c r="CL47" s="104">
        <v>-200.48</v>
      </c>
      <c r="CM47" s="104">
        <v>0</v>
      </c>
      <c r="CN47" s="104">
        <f>2264.68+1824.96</f>
        <v>4089.64</v>
      </c>
      <c r="CO47" s="106">
        <v>0</v>
      </c>
      <c r="CP47" s="104">
        <f t="shared" si="246"/>
        <v>12253.11</v>
      </c>
      <c r="CQ47" s="104">
        <f t="shared" si="246"/>
        <v>12.489999999999782</v>
      </c>
      <c r="CR47" s="104">
        <f t="shared" si="246"/>
        <v>2564.6800000000003</v>
      </c>
      <c r="CS47" s="104">
        <f t="shared" si="246"/>
        <v>-165.60000000000002</v>
      </c>
      <c r="CT47" s="104">
        <f t="shared" si="246"/>
        <v>-4706.739999999998</v>
      </c>
      <c r="CU47" s="104">
        <f t="shared" si="246"/>
        <v>-4545.37</v>
      </c>
      <c r="CV47" s="104">
        <f t="shared" si="246"/>
        <v>-2769.6099999999997</v>
      </c>
      <c r="CW47" s="104">
        <f t="shared" si="246"/>
        <v>2869.9</v>
      </c>
      <c r="CX47" s="104">
        <f t="shared" si="246"/>
        <v>-208</v>
      </c>
      <c r="CY47" s="104">
        <f t="shared" si="246"/>
        <v>-3616.12</v>
      </c>
      <c r="CZ47" s="104">
        <f t="shared" si="246"/>
        <v>4576.38</v>
      </c>
      <c r="DA47" s="106">
        <f t="shared" si="246"/>
        <v>-14688.82</v>
      </c>
      <c r="DB47" s="168">
        <f>2926.56+458.53</f>
        <v>3385.09</v>
      </c>
      <c r="DC47" s="104">
        <v>7966.86</v>
      </c>
      <c r="DD47" s="104">
        <v>5551.59</v>
      </c>
      <c r="DE47" s="104">
        <v>4048.82</v>
      </c>
      <c r="DF47" s="104">
        <f>2773.41+753.7</f>
        <v>3527.1099999999997</v>
      </c>
      <c r="DG47" s="104">
        <v>4808.91</v>
      </c>
      <c r="DH47" s="104">
        <v>2119.7999999999997</v>
      </c>
      <c r="DI47" s="104">
        <v>2138.25</v>
      </c>
      <c r="DJ47" s="104">
        <v>2138.25</v>
      </c>
      <c r="DK47" s="104">
        <v>1178.06</v>
      </c>
      <c r="DL47" s="104">
        <v>1773.71</v>
      </c>
      <c r="DM47" s="106"/>
      <c r="DN47" s="104">
        <f t="shared" si="249"/>
        <v>-18968.25</v>
      </c>
      <c r="DO47" s="104">
        <f t="shared" si="247"/>
        <v>3373.49</v>
      </c>
      <c r="DP47" s="104">
        <f t="shared" si="247"/>
        <v>-9432.14</v>
      </c>
      <c r="DQ47" s="104">
        <f t="shared" si="247"/>
        <v>4288.3100000000004</v>
      </c>
      <c r="DR47" s="104">
        <f t="shared" si="247"/>
        <v>-8854</v>
      </c>
      <c r="DS47" s="104">
        <f t="shared" si="247"/>
        <v>9574.34</v>
      </c>
      <c r="DT47" s="104">
        <f t="shared" si="247"/>
        <v>-4316.24</v>
      </c>
      <c r="DU47" s="104">
        <f t="shared" si="247"/>
        <v>-1461.42</v>
      </c>
      <c r="DV47" s="104">
        <f t="shared" si="247"/>
        <v>2338.73</v>
      </c>
      <c r="DW47" s="104">
        <f t="shared" si="247"/>
        <v>1178.06</v>
      </c>
      <c r="DX47" s="104">
        <f t="shared" si="247"/>
        <v>-2315.9299999999998</v>
      </c>
      <c r="DY47" s="106">
        <f t="shared" si="247"/>
        <v>0</v>
      </c>
    </row>
    <row r="48" spans="1:129" x14ac:dyDescent="0.25">
      <c r="A48" s="188" t="s">
        <v>37</v>
      </c>
      <c r="B48" s="168">
        <v>0</v>
      </c>
      <c r="C48" s="104">
        <v>0</v>
      </c>
      <c r="D48" s="104">
        <v>0</v>
      </c>
      <c r="E48" s="104">
        <v>0</v>
      </c>
      <c r="F48" s="104">
        <v>0</v>
      </c>
      <c r="G48" s="104">
        <v>0</v>
      </c>
      <c r="H48" s="104">
        <v>0</v>
      </c>
      <c r="I48" s="104">
        <v>0</v>
      </c>
      <c r="J48" s="104">
        <v>0</v>
      </c>
      <c r="K48" s="104">
        <v>0</v>
      </c>
      <c r="L48" s="168">
        <v>0</v>
      </c>
      <c r="M48" s="104">
        <v>0</v>
      </c>
      <c r="N48" s="104">
        <v>0</v>
      </c>
      <c r="O48" s="104">
        <v>0</v>
      </c>
      <c r="P48" s="104">
        <v>0</v>
      </c>
      <c r="Q48" s="104">
        <v>0</v>
      </c>
      <c r="R48" s="104">
        <v>0</v>
      </c>
      <c r="S48" s="104">
        <v>0</v>
      </c>
      <c r="T48" s="104">
        <v>0</v>
      </c>
      <c r="U48" s="104">
        <v>0</v>
      </c>
      <c r="V48" s="104">
        <v>0</v>
      </c>
      <c r="W48" s="104">
        <v>0</v>
      </c>
      <c r="X48" s="168">
        <f t="shared" si="232"/>
        <v>0</v>
      </c>
      <c r="Y48" s="104">
        <f t="shared" si="232"/>
        <v>0</v>
      </c>
      <c r="Z48" s="104">
        <f t="shared" si="232"/>
        <v>0</v>
      </c>
      <c r="AA48" s="104">
        <f t="shared" si="232"/>
        <v>0</v>
      </c>
      <c r="AB48" s="104">
        <f t="shared" si="232"/>
        <v>0</v>
      </c>
      <c r="AC48" s="104">
        <f t="shared" si="232"/>
        <v>0</v>
      </c>
      <c r="AD48" s="104">
        <f t="shared" si="232"/>
        <v>0</v>
      </c>
      <c r="AE48" s="104">
        <f t="shared" si="232"/>
        <v>0</v>
      </c>
      <c r="AF48" s="104">
        <f t="shared" si="232"/>
        <v>0</v>
      </c>
      <c r="AG48" s="106">
        <f t="shared" si="232"/>
        <v>0</v>
      </c>
      <c r="AH48" s="168">
        <v>0</v>
      </c>
      <c r="AI48" s="104">
        <v>0</v>
      </c>
      <c r="AJ48" s="104">
        <v>0</v>
      </c>
      <c r="AK48" s="104">
        <v>0</v>
      </c>
      <c r="AL48" s="104">
        <v>0</v>
      </c>
      <c r="AM48" s="104">
        <v>0</v>
      </c>
      <c r="AN48" s="104">
        <v>0</v>
      </c>
      <c r="AO48" s="104">
        <v>0</v>
      </c>
      <c r="AP48" s="104">
        <v>0</v>
      </c>
      <c r="AQ48" s="104">
        <v>0</v>
      </c>
      <c r="AR48" s="104">
        <v>0</v>
      </c>
      <c r="AS48" s="106">
        <v>0</v>
      </c>
      <c r="AT48" s="168">
        <f t="shared" si="248"/>
        <v>0</v>
      </c>
      <c r="AU48" s="104">
        <f t="shared" si="233"/>
        <v>0</v>
      </c>
      <c r="AV48" s="104">
        <f t="shared" si="233"/>
        <v>0</v>
      </c>
      <c r="AW48" s="104">
        <f t="shared" si="233"/>
        <v>0</v>
      </c>
      <c r="AX48" s="104">
        <f t="shared" si="233"/>
        <v>0</v>
      </c>
      <c r="AY48" s="104">
        <f t="shared" si="233"/>
        <v>0</v>
      </c>
      <c r="AZ48" s="104">
        <f t="shared" si="233"/>
        <v>0</v>
      </c>
      <c r="BA48" s="104">
        <f t="shared" si="233"/>
        <v>0</v>
      </c>
      <c r="BB48" s="104">
        <f t="shared" si="233"/>
        <v>0</v>
      </c>
      <c r="BC48" s="104">
        <f t="shared" si="233"/>
        <v>0</v>
      </c>
      <c r="BD48" s="104">
        <f t="shared" si="233"/>
        <v>0</v>
      </c>
      <c r="BE48" s="106">
        <f t="shared" si="233"/>
        <v>0</v>
      </c>
      <c r="BF48" s="168">
        <v>0</v>
      </c>
      <c r="BG48" s="104">
        <v>0</v>
      </c>
      <c r="BH48" s="104">
        <v>0</v>
      </c>
      <c r="BI48" s="104">
        <v>0</v>
      </c>
      <c r="BJ48" s="104">
        <v>0</v>
      </c>
      <c r="BK48" s="104">
        <v>0</v>
      </c>
      <c r="BL48" s="104">
        <v>0</v>
      </c>
      <c r="BM48" s="104">
        <v>0</v>
      </c>
      <c r="BN48" s="104">
        <v>0</v>
      </c>
      <c r="BO48" s="104">
        <v>0</v>
      </c>
      <c r="BP48" s="104">
        <v>0</v>
      </c>
      <c r="BQ48" s="106">
        <v>0</v>
      </c>
      <c r="BR48" s="168">
        <f t="shared" si="234"/>
        <v>0</v>
      </c>
      <c r="BS48" s="104">
        <f t="shared" si="235"/>
        <v>0</v>
      </c>
      <c r="BT48" s="104">
        <f t="shared" si="236"/>
        <v>0</v>
      </c>
      <c r="BU48" s="104">
        <f t="shared" si="237"/>
        <v>0</v>
      </c>
      <c r="BV48" s="104">
        <f t="shared" si="238"/>
        <v>0</v>
      </c>
      <c r="BW48" s="104">
        <f t="shared" si="239"/>
        <v>0</v>
      </c>
      <c r="BX48" s="104">
        <f t="shared" si="240"/>
        <v>0</v>
      </c>
      <c r="BY48" s="104">
        <f t="shared" si="241"/>
        <v>0</v>
      </c>
      <c r="BZ48" s="104">
        <f t="shared" si="242"/>
        <v>0</v>
      </c>
      <c r="CA48" s="104">
        <f t="shared" si="243"/>
        <v>0</v>
      </c>
      <c r="CB48" s="104">
        <f t="shared" si="244"/>
        <v>0</v>
      </c>
      <c r="CC48" s="106">
        <f t="shared" si="245"/>
        <v>0</v>
      </c>
      <c r="CD48" s="168">
        <v>0</v>
      </c>
      <c r="CE48" s="104">
        <v>0</v>
      </c>
      <c r="CF48" s="104">
        <v>0</v>
      </c>
      <c r="CG48" s="104">
        <v>0</v>
      </c>
      <c r="CH48" s="104">
        <v>0</v>
      </c>
      <c r="CI48" s="104">
        <v>0</v>
      </c>
      <c r="CJ48" s="104">
        <v>0</v>
      </c>
      <c r="CK48" s="104">
        <v>0</v>
      </c>
      <c r="CL48" s="104">
        <v>0</v>
      </c>
      <c r="CM48" s="104">
        <v>0</v>
      </c>
      <c r="CN48" s="104">
        <f>1473.79+722.11</f>
        <v>2195.9</v>
      </c>
      <c r="CO48" s="106">
        <v>0</v>
      </c>
      <c r="CP48" s="104">
        <f t="shared" si="246"/>
        <v>0</v>
      </c>
      <c r="CQ48" s="104">
        <f t="shared" si="246"/>
        <v>0</v>
      </c>
      <c r="CR48" s="104">
        <f t="shared" si="246"/>
        <v>0</v>
      </c>
      <c r="CS48" s="104">
        <f t="shared" si="246"/>
        <v>0</v>
      </c>
      <c r="CT48" s="104">
        <f t="shared" si="246"/>
        <v>0</v>
      </c>
      <c r="CU48" s="104">
        <f t="shared" si="246"/>
        <v>0</v>
      </c>
      <c r="CV48" s="104">
        <f t="shared" si="246"/>
        <v>0</v>
      </c>
      <c r="CW48" s="104">
        <f t="shared" si="246"/>
        <v>0</v>
      </c>
      <c r="CX48" s="104">
        <f t="shared" si="246"/>
        <v>0</v>
      </c>
      <c r="CY48" s="104">
        <f t="shared" si="246"/>
        <v>0</v>
      </c>
      <c r="CZ48" s="104">
        <f t="shared" si="246"/>
        <v>2195.9</v>
      </c>
      <c r="DA48" s="106">
        <f t="shared" si="246"/>
        <v>0</v>
      </c>
      <c r="DB48" s="168">
        <v>1355.9</v>
      </c>
      <c r="DC48" s="104">
        <v>7944.39</v>
      </c>
      <c r="DD48" s="104">
        <v>0</v>
      </c>
      <c r="DE48" s="104">
        <v>90.56</v>
      </c>
      <c r="DF48" s="104">
        <v>10.02</v>
      </c>
      <c r="DG48" s="104">
        <v>0</v>
      </c>
      <c r="DH48" s="104">
        <v>0</v>
      </c>
      <c r="DI48" s="104">
        <v>1.75</v>
      </c>
      <c r="DJ48" s="104">
        <v>1.75</v>
      </c>
      <c r="DK48" s="104">
        <v>599.1</v>
      </c>
      <c r="DL48" s="104">
        <v>519.04</v>
      </c>
      <c r="DM48" s="106"/>
      <c r="DN48" s="104">
        <f t="shared" si="249"/>
        <v>1355.9</v>
      </c>
      <c r="DO48" s="104">
        <f t="shared" si="247"/>
        <v>7944.39</v>
      </c>
      <c r="DP48" s="104">
        <f t="shared" si="247"/>
        <v>0</v>
      </c>
      <c r="DQ48" s="104">
        <f t="shared" si="247"/>
        <v>90.56</v>
      </c>
      <c r="DR48" s="104">
        <f t="shared" si="247"/>
        <v>10.02</v>
      </c>
      <c r="DS48" s="104">
        <f t="shared" si="247"/>
        <v>0</v>
      </c>
      <c r="DT48" s="104">
        <f t="shared" si="247"/>
        <v>0</v>
      </c>
      <c r="DU48" s="104">
        <f t="shared" si="247"/>
        <v>1.75</v>
      </c>
      <c r="DV48" s="104">
        <f t="shared" si="247"/>
        <v>1.75</v>
      </c>
      <c r="DW48" s="104">
        <f t="shared" si="247"/>
        <v>599.1</v>
      </c>
      <c r="DX48" s="104">
        <f t="shared" si="247"/>
        <v>-1676.8600000000001</v>
      </c>
      <c r="DY48" s="106">
        <f t="shared" si="247"/>
        <v>0</v>
      </c>
    </row>
    <row r="49" spans="1:129" x14ac:dyDescent="0.25">
      <c r="A49" s="188" t="s">
        <v>46</v>
      </c>
      <c r="B49" s="168">
        <v>0</v>
      </c>
      <c r="C49" s="104">
        <v>0</v>
      </c>
      <c r="D49" s="104">
        <v>0</v>
      </c>
      <c r="E49" s="104">
        <v>0</v>
      </c>
      <c r="F49" s="104">
        <v>0</v>
      </c>
      <c r="G49" s="104">
        <v>0</v>
      </c>
      <c r="H49" s="104">
        <v>0</v>
      </c>
      <c r="I49" s="104">
        <v>0</v>
      </c>
      <c r="J49" s="104">
        <v>0</v>
      </c>
      <c r="K49" s="104">
        <v>0</v>
      </c>
      <c r="L49" s="168">
        <v>0</v>
      </c>
      <c r="M49" s="104">
        <v>0</v>
      </c>
      <c r="N49" s="104">
        <v>0</v>
      </c>
      <c r="O49" s="104">
        <v>0</v>
      </c>
      <c r="P49" s="104">
        <v>0</v>
      </c>
      <c r="Q49" s="104">
        <v>0</v>
      </c>
      <c r="R49" s="104">
        <v>0</v>
      </c>
      <c r="S49" s="104">
        <v>0</v>
      </c>
      <c r="T49" s="104">
        <v>0</v>
      </c>
      <c r="U49" s="104">
        <v>0</v>
      </c>
      <c r="V49" s="104">
        <v>0</v>
      </c>
      <c r="W49" s="104">
        <v>0</v>
      </c>
      <c r="X49" s="168">
        <f t="shared" si="232"/>
        <v>0</v>
      </c>
      <c r="Y49" s="104">
        <f t="shared" si="232"/>
        <v>0</v>
      </c>
      <c r="Z49" s="104">
        <f t="shared" si="232"/>
        <v>0</v>
      </c>
      <c r="AA49" s="104">
        <f t="shared" si="232"/>
        <v>0</v>
      </c>
      <c r="AB49" s="104">
        <f t="shared" si="232"/>
        <v>0</v>
      </c>
      <c r="AC49" s="104">
        <f t="shared" si="232"/>
        <v>0</v>
      </c>
      <c r="AD49" s="104">
        <f t="shared" si="232"/>
        <v>0</v>
      </c>
      <c r="AE49" s="104">
        <f t="shared" si="232"/>
        <v>0</v>
      </c>
      <c r="AF49" s="104">
        <f t="shared" si="232"/>
        <v>0</v>
      </c>
      <c r="AG49" s="106">
        <f t="shared" si="232"/>
        <v>0</v>
      </c>
      <c r="AH49" s="168">
        <v>0</v>
      </c>
      <c r="AI49" s="104">
        <v>0</v>
      </c>
      <c r="AJ49" s="104">
        <v>0</v>
      </c>
      <c r="AK49" s="104">
        <v>0</v>
      </c>
      <c r="AL49" s="104">
        <v>0</v>
      </c>
      <c r="AM49" s="104">
        <v>0</v>
      </c>
      <c r="AN49" s="104">
        <v>0</v>
      </c>
      <c r="AO49" s="104">
        <v>0</v>
      </c>
      <c r="AP49" s="104">
        <v>0</v>
      </c>
      <c r="AQ49" s="104">
        <v>0</v>
      </c>
      <c r="AR49" s="104">
        <v>0</v>
      </c>
      <c r="AS49" s="106">
        <v>0</v>
      </c>
      <c r="AT49" s="168">
        <f t="shared" si="248"/>
        <v>0</v>
      </c>
      <c r="AU49" s="104">
        <f t="shared" si="233"/>
        <v>0</v>
      </c>
      <c r="AV49" s="104">
        <f t="shared" si="233"/>
        <v>0</v>
      </c>
      <c r="AW49" s="104">
        <f t="shared" si="233"/>
        <v>0</v>
      </c>
      <c r="AX49" s="104">
        <f t="shared" si="233"/>
        <v>0</v>
      </c>
      <c r="AY49" s="104">
        <f t="shared" si="233"/>
        <v>0</v>
      </c>
      <c r="AZ49" s="104">
        <f t="shared" si="233"/>
        <v>0</v>
      </c>
      <c r="BA49" s="104">
        <f t="shared" si="233"/>
        <v>0</v>
      </c>
      <c r="BB49" s="104">
        <f t="shared" si="233"/>
        <v>0</v>
      </c>
      <c r="BC49" s="104">
        <f t="shared" si="233"/>
        <v>0</v>
      </c>
      <c r="BD49" s="104">
        <f t="shared" si="233"/>
        <v>0</v>
      </c>
      <c r="BE49" s="106">
        <f t="shared" si="233"/>
        <v>0</v>
      </c>
      <c r="BF49" s="168">
        <v>0</v>
      </c>
      <c r="BG49" s="104">
        <v>0</v>
      </c>
      <c r="BH49" s="104">
        <v>0</v>
      </c>
      <c r="BI49" s="104">
        <v>0</v>
      </c>
      <c r="BJ49" s="104">
        <v>0</v>
      </c>
      <c r="BK49" s="104">
        <v>0</v>
      </c>
      <c r="BL49" s="104">
        <v>0</v>
      </c>
      <c r="BM49" s="104">
        <v>0</v>
      </c>
      <c r="BN49" s="104">
        <v>0</v>
      </c>
      <c r="BO49" s="104">
        <v>0</v>
      </c>
      <c r="BP49" s="104">
        <v>0</v>
      </c>
      <c r="BQ49" s="106">
        <v>0</v>
      </c>
      <c r="BR49" s="168">
        <f t="shared" si="234"/>
        <v>0</v>
      </c>
      <c r="BS49" s="104">
        <f t="shared" si="235"/>
        <v>0</v>
      </c>
      <c r="BT49" s="104">
        <f t="shared" si="236"/>
        <v>0</v>
      </c>
      <c r="BU49" s="104">
        <f t="shared" si="237"/>
        <v>0</v>
      </c>
      <c r="BV49" s="104">
        <f t="shared" si="238"/>
        <v>0</v>
      </c>
      <c r="BW49" s="104">
        <f t="shared" si="239"/>
        <v>0</v>
      </c>
      <c r="BX49" s="104">
        <f t="shared" si="240"/>
        <v>0</v>
      </c>
      <c r="BY49" s="104">
        <f t="shared" si="241"/>
        <v>0</v>
      </c>
      <c r="BZ49" s="104">
        <f t="shared" si="242"/>
        <v>0</v>
      </c>
      <c r="CA49" s="104">
        <f t="shared" si="243"/>
        <v>0</v>
      </c>
      <c r="CB49" s="104">
        <f t="shared" si="244"/>
        <v>0</v>
      </c>
      <c r="CC49" s="106">
        <f t="shared" si="245"/>
        <v>0</v>
      </c>
      <c r="CD49" s="168">
        <v>0</v>
      </c>
      <c r="CE49" s="104">
        <v>0</v>
      </c>
      <c r="CF49" s="104">
        <v>0</v>
      </c>
      <c r="CG49" s="104">
        <v>0</v>
      </c>
      <c r="CH49" s="104">
        <v>0</v>
      </c>
      <c r="CI49" s="104">
        <v>0</v>
      </c>
      <c r="CJ49" s="104">
        <v>0</v>
      </c>
      <c r="CK49" s="104">
        <v>0</v>
      </c>
      <c r="CL49" s="104">
        <v>0</v>
      </c>
      <c r="CM49" s="104">
        <v>0</v>
      </c>
      <c r="CN49" s="104">
        <v>0</v>
      </c>
      <c r="CO49" s="106">
        <v>0</v>
      </c>
      <c r="CP49" s="104">
        <f t="shared" si="246"/>
        <v>0</v>
      </c>
      <c r="CQ49" s="104">
        <f t="shared" si="246"/>
        <v>0</v>
      </c>
      <c r="CR49" s="104">
        <f t="shared" si="246"/>
        <v>0</v>
      </c>
      <c r="CS49" s="104">
        <f t="shared" si="246"/>
        <v>0</v>
      </c>
      <c r="CT49" s="104">
        <f t="shared" si="246"/>
        <v>0</v>
      </c>
      <c r="CU49" s="104">
        <f t="shared" si="246"/>
        <v>0</v>
      </c>
      <c r="CV49" s="104">
        <f t="shared" si="246"/>
        <v>0</v>
      </c>
      <c r="CW49" s="104">
        <f t="shared" si="246"/>
        <v>0</v>
      </c>
      <c r="CX49" s="104">
        <f t="shared" si="246"/>
        <v>0</v>
      </c>
      <c r="CY49" s="104">
        <f t="shared" si="246"/>
        <v>0</v>
      </c>
      <c r="CZ49" s="104">
        <f t="shared" si="246"/>
        <v>0</v>
      </c>
      <c r="DA49" s="106">
        <f t="shared" si="246"/>
        <v>0</v>
      </c>
      <c r="DB49" s="168">
        <v>0</v>
      </c>
      <c r="DC49" s="104">
        <v>0</v>
      </c>
      <c r="DD49" s="104">
        <v>0</v>
      </c>
      <c r="DE49" s="104">
        <v>0</v>
      </c>
      <c r="DF49" s="104">
        <v>0</v>
      </c>
      <c r="DG49" s="104">
        <v>0</v>
      </c>
      <c r="DH49" s="104">
        <v>0</v>
      </c>
      <c r="DI49" s="104">
        <v>0</v>
      </c>
      <c r="DJ49" s="104">
        <v>0</v>
      </c>
      <c r="DK49" s="104">
        <v>0</v>
      </c>
      <c r="DL49" s="104">
        <v>0</v>
      </c>
      <c r="DM49" s="106"/>
      <c r="DN49" s="104">
        <f t="shared" si="249"/>
        <v>0</v>
      </c>
      <c r="DO49" s="104">
        <f t="shared" si="247"/>
        <v>0</v>
      </c>
      <c r="DP49" s="104">
        <f t="shared" si="247"/>
        <v>0</v>
      </c>
      <c r="DQ49" s="104">
        <f t="shared" si="247"/>
        <v>0</v>
      </c>
      <c r="DR49" s="104">
        <f t="shared" si="247"/>
        <v>0</v>
      </c>
      <c r="DS49" s="104">
        <f t="shared" si="247"/>
        <v>0</v>
      </c>
      <c r="DT49" s="104">
        <f t="shared" si="247"/>
        <v>0</v>
      </c>
      <c r="DU49" s="104">
        <f t="shared" si="247"/>
        <v>0</v>
      </c>
      <c r="DV49" s="104">
        <f t="shared" si="247"/>
        <v>0</v>
      </c>
      <c r="DW49" s="104">
        <f t="shared" si="247"/>
        <v>0</v>
      </c>
      <c r="DX49" s="104">
        <f t="shared" si="247"/>
        <v>0</v>
      </c>
      <c r="DY49" s="106">
        <f t="shared" si="247"/>
        <v>0</v>
      </c>
    </row>
    <row r="50" spans="1:129" x14ac:dyDescent="0.25">
      <c r="A50" s="188" t="s">
        <v>39</v>
      </c>
      <c r="B50" s="168">
        <f>SUM(B45:B49)</f>
        <v>167971.67</v>
      </c>
      <c r="C50" s="104">
        <f t="shared" ref="C50:K50" si="250">SUM(C45:C49)</f>
        <v>-632.77</v>
      </c>
      <c r="D50" s="104">
        <f t="shared" si="250"/>
        <v>51483.840000000004</v>
      </c>
      <c r="E50" s="104">
        <f t="shared" si="250"/>
        <v>-5601.5599999999995</v>
      </c>
      <c r="F50" s="104">
        <f t="shared" si="250"/>
        <v>7602.9</v>
      </c>
      <c r="G50" s="104">
        <f t="shared" si="250"/>
        <v>5848.61</v>
      </c>
      <c r="H50" s="104">
        <f t="shared" si="250"/>
        <v>-13037.189999999999</v>
      </c>
      <c r="I50" s="104">
        <f t="shared" si="250"/>
        <v>3783.1900000000005</v>
      </c>
      <c r="J50" s="104">
        <f t="shared" si="250"/>
        <v>-5469.49</v>
      </c>
      <c r="K50" s="104">
        <f t="shared" si="250"/>
        <v>37601.660000000003</v>
      </c>
      <c r="L50" s="168">
        <f>SUM(L45:L49)</f>
        <v>51519.24</v>
      </c>
      <c r="M50" s="104">
        <f t="shared" ref="M50:W50" si="251">SUM(M45:M49)</f>
        <v>7879.880000000001</v>
      </c>
      <c r="N50" s="104">
        <f t="shared" si="251"/>
        <v>91122.11</v>
      </c>
      <c r="O50" s="104">
        <f t="shared" si="251"/>
        <v>-1584.27</v>
      </c>
      <c r="P50" s="104">
        <f t="shared" si="251"/>
        <v>42521.49</v>
      </c>
      <c r="Q50" s="104">
        <f t="shared" si="251"/>
        <v>-1297.3699999999999</v>
      </c>
      <c r="R50" s="104">
        <f t="shared" si="251"/>
        <v>6004.86</v>
      </c>
      <c r="S50" s="104">
        <f t="shared" si="251"/>
        <v>4743.26</v>
      </c>
      <c r="T50" s="104">
        <f t="shared" si="251"/>
        <v>-5224.6100000000006</v>
      </c>
      <c r="U50" s="104">
        <f t="shared" si="251"/>
        <v>6677.6900000000005</v>
      </c>
      <c r="V50" s="104">
        <f t="shared" si="251"/>
        <v>-3976.1099999999997</v>
      </c>
      <c r="W50" s="104">
        <f t="shared" si="251"/>
        <v>29428.190000000002</v>
      </c>
      <c r="X50" s="168">
        <f t="shared" ref="X50" si="252">SUM(X45:X49)</f>
        <v>76849.56</v>
      </c>
      <c r="Y50" s="104">
        <f t="shared" ref="Y50" si="253">SUM(Y45:Y49)</f>
        <v>951.5</v>
      </c>
      <c r="Z50" s="104">
        <f t="shared" ref="Z50" si="254">SUM(Z45:Z49)</f>
        <v>8962.3500000000058</v>
      </c>
      <c r="AA50" s="104">
        <f t="shared" ref="AA50" si="255">SUM(AA45:AA49)</f>
        <v>-4304.1900000000005</v>
      </c>
      <c r="AB50" s="104">
        <f t="shared" ref="AB50" si="256">SUM(AB45:AB49)</f>
        <v>1598.0399999999995</v>
      </c>
      <c r="AC50" s="104">
        <f t="shared" ref="AC50" si="257">SUM(AC45:AC49)</f>
        <v>1105.3499999999999</v>
      </c>
      <c r="AD50" s="104">
        <f t="shared" ref="AD50" si="258">SUM(AD45:AD49)</f>
        <v>-7812.579999999999</v>
      </c>
      <c r="AE50" s="104">
        <f t="shared" ref="AE50" si="259">SUM(AE45:AE49)</f>
        <v>-2894.5000000000005</v>
      </c>
      <c r="AF50" s="104">
        <f t="shared" ref="AF50" si="260">SUM(AF45:AF49)</f>
        <v>-1493.3799999999997</v>
      </c>
      <c r="AG50" s="106">
        <f t="shared" ref="AG50" si="261">SUM(AG45:AG49)</f>
        <v>8173.4699999999975</v>
      </c>
      <c r="AH50" s="168">
        <f>SUM(AH45:AH49)</f>
        <v>77215.450000000012</v>
      </c>
      <c r="AI50" s="104">
        <f t="shared" ref="AI50:AS50" si="262">SUM(AI45:AI49)</f>
        <v>34907.51</v>
      </c>
      <c r="AJ50" s="104">
        <f t="shared" si="262"/>
        <v>144316.93</v>
      </c>
      <c r="AK50" s="104">
        <f t="shared" si="262"/>
        <v>6715.1200000000008</v>
      </c>
      <c r="AL50" s="104">
        <f t="shared" si="262"/>
        <v>44494.960000000006</v>
      </c>
      <c r="AM50" s="104">
        <f t="shared" si="262"/>
        <v>8596.07</v>
      </c>
      <c r="AN50" s="104">
        <f t="shared" si="262"/>
        <v>-2152.9499999999998</v>
      </c>
      <c r="AO50" s="104">
        <f t="shared" si="262"/>
        <v>8770.3700000000008</v>
      </c>
      <c r="AP50" s="104">
        <f t="shared" si="262"/>
        <v>-9432.2099999999991</v>
      </c>
      <c r="AQ50" s="104">
        <f t="shared" si="262"/>
        <v>3550.19</v>
      </c>
      <c r="AR50" s="104">
        <f t="shared" si="262"/>
        <v>-7541.8099999999995</v>
      </c>
      <c r="AS50" s="106">
        <f t="shared" si="262"/>
        <v>71583.430000000008</v>
      </c>
      <c r="AT50" s="168">
        <f>SUM(AT45:AT49)</f>
        <v>-25696.210000000003</v>
      </c>
      <c r="AU50" s="104">
        <f t="shared" ref="AU50" si="263">SUM(AU45:AU49)</f>
        <v>-27027.629999999997</v>
      </c>
      <c r="AV50" s="104">
        <f t="shared" ref="AV50" si="264">SUM(AV45:AV49)</f>
        <v>-53194.819999999992</v>
      </c>
      <c r="AW50" s="104">
        <f t="shared" ref="AW50" si="265">SUM(AW45:AW49)</f>
        <v>-8299.3900000000012</v>
      </c>
      <c r="AX50" s="104">
        <f t="shared" ref="AX50" si="266">SUM(AX45:AX49)</f>
        <v>-1973.470000000003</v>
      </c>
      <c r="AY50" s="104">
        <f t="shared" ref="AY50" si="267">SUM(AY45:AY49)</f>
        <v>-9893.4399999999987</v>
      </c>
      <c r="AZ50" s="104">
        <f t="shared" ref="AZ50" si="268">SUM(AZ45:AZ49)</f>
        <v>8157.8099999999995</v>
      </c>
      <c r="BA50" s="104">
        <f t="shared" ref="BA50" si="269">SUM(BA45:BA49)</f>
        <v>-4027.1100000000006</v>
      </c>
      <c r="BB50" s="104">
        <f t="shared" ref="BB50" si="270">SUM(BB45:BB49)</f>
        <v>4207.6000000000004</v>
      </c>
      <c r="BC50" s="104">
        <f t="shared" ref="BC50" si="271">SUM(BC45:BC49)</f>
        <v>3127.5000000000009</v>
      </c>
      <c r="BD50" s="104">
        <f t="shared" ref="BD50" si="272">SUM(BD45:BD49)</f>
        <v>3565.7000000000003</v>
      </c>
      <c r="BE50" s="106">
        <f t="shared" ref="BE50" si="273">SUM(BE45:BE49)</f>
        <v>-42155.240000000005</v>
      </c>
      <c r="BF50" s="168">
        <v>62833.04</v>
      </c>
      <c r="BG50" s="104">
        <f>SUM(BG45:BG49)</f>
        <v>29997.34</v>
      </c>
      <c r="BH50" s="104">
        <f>SUM(BH45:BH49)</f>
        <v>179142.61</v>
      </c>
      <c r="BI50" s="104">
        <f>SUM(BI45:BI49)</f>
        <v>-2151.9499999999998</v>
      </c>
      <c r="BJ50" s="104">
        <v>71657.11</v>
      </c>
      <c r="BK50" s="104">
        <f>SUM(BK45:BK47)</f>
        <v>-17918.530000000002</v>
      </c>
      <c r="BL50" s="104">
        <v>20886.849999999999</v>
      </c>
      <c r="BM50" s="104">
        <v>12199.65</v>
      </c>
      <c r="BN50" s="104">
        <v>-17245.330000000002</v>
      </c>
      <c r="BO50" s="104">
        <v>8297.68</v>
      </c>
      <c r="BP50" s="104">
        <f>SUM(BP45:BP49)</f>
        <v>-5499.1100000000006</v>
      </c>
      <c r="BQ50" s="106">
        <f>SUM(BQ43:BQ49)</f>
        <v>82919.75</v>
      </c>
      <c r="BR50" s="168">
        <f>SUM(BR45:BR49)</f>
        <v>14382.41</v>
      </c>
      <c r="BS50" s="104">
        <f t="shared" ref="BS50:CC50" si="274">SUM(BS45:BS49)</f>
        <v>4910.170000000001</v>
      </c>
      <c r="BT50" s="104">
        <f t="shared" si="274"/>
        <v>-34825.679999999993</v>
      </c>
      <c r="BU50" s="104">
        <f t="shared" si="274"/>
        <v>8867.07</v>
      </c>
      <c r="BV50" s="104">
        <f t="shared" si="274"/>
        <v>-27162.149999999994</v>
      </c>
      <c r="BW50" s="104">
        <f t="shared" si="274"/>
        <v>26514.600000000002</v>
      </c>
      <c r="BX50" s="104">
        <f t="shared" si="274"/>
        <v>-23039.799999999996</v>
      </c>
      <c r="BY50" s="104">
        <f t="shared" si="274"/>
        <v>-3429.2799999999993</v>
      </c>
      <c r="BZ50" s="104">
        <f t="shared" si="274"/>
        <v>7813.119999999999</v>
      </c>
      <c r="CA50" s="104">
        <f t="shared" si="274"/>
        <v>-4747.49</v>
      </c>
      <c r="CB50" s="104">
        <f t="shared" si="274"/>
        <v>-2042.6999999999996</v>
      </c>
      <c r="CC50" s="106">
        <f t="shared" si="274"/>
        <v>-11336.32</v>
      </c>
      <c r="CD50" s="168">
        <f>SUM(CD45:CD49)</f>
        <v>125149</v>
      </c>
      <c r="CE50" s="104">
        <f t="shared" ref="CE50:CI50" si="275">SUM(CE45:CE48)</f>
        <v>47354.66</v>
      </c>
      <c r="CF50" s="104">
        <f t="shared" si="275"/>
        <v>145822.44</v>
      </c>
      <c r="CG50" s="104">
        <f t="shared" si="275"/>
        <v>-5046.6499999999996</v>
      </c>
      <c r="CH50" s="104">
        <f t="shared" si="275"/>
        <v>46983.060000000005</v>
      </c>
      <c r="CI50" s="104">
        <f t="shared" si="275"/>
        <v>-8273.2900000000009</v>
      </c>
      <c r="CJ50" s="104">
        <v>16635.09</v>
      </c>
      <c r="CK50" s="104">
        <v>11515.19</v>
      </c>
      <c r="CL50" s="104">
        <v>-12394.69</v>
      </c>
      <c r="CM50" s="104">
        <v>0</v>
      </c>
      <c r="CN50" s="104">
        <f>SUM(CN45:CN49)</f>
        <v>64733.48</v>
      </c>
      <c r="CO50" s="106">
        <v>162</v>
      </c>
      <c r="CP50" s="168">
        <f t="shared" si="246"/>
        <v>62315.96</v>
      </c>
      <c r="CQ50" s="104">
        <f t="shared" si="246"/>
        <v>17357.320000000003</v>
      </c>
      <c r="CR50" s="104">
        <f t="shared" si="246"/>
        <v>-33320.169999999984</v>
      </c>
      <c r="CS50" s="104">
        <f t="shared" si="246"/>
        <v>-2894.7</v>
      </c>
      <c r="CT50" s="104">
        <f t="shared" si="246"/>
        <v>-24674.049999999996</v>
      </c>
      <c r="CU50" s="104">
        <f t="shared" si="246"/>
        <v>9645.2400000000016</v>
      </c>
      <c r="CV50" s="104">
        <f t="shared" si="246"/>
        <v>-4251.7599999999984</v>
      </c>
      <c r="CW50" s="104">
        <f t="shared" si="246"/>
        <v>-684.45999999999913</v>
      </c>
      <c r="CX50" s="104">
        <f t="shared" si="246"/>
        <v>4850.6400000000012</v>
      </c>
      <c r="CY50" s="104">
        <f t="shared" si="246"/>
        <v>-8297.68</v>
      </c>
      <c r="CZ50" s="104">
        <f t="shared" si="246"/>
        <v>70232.59</v>
      </c>
      <c r="DA50" s="106">
        <f t="shared" si="246"/>
        <v>-82757.75</v>
      </c>
      <c r="DB50" s="168">
        <f>SUM(DB45:DB49)</f>
        <v>18022.270000000004</v>
      </c>
      <c r="DC50" s="104">
        <f>SUM(DC45:DC49)</f>
        <v>88309.39</v>
      </c>
      <c r="DD50" s="104">
        <f>SUM(DD45:DD49)</f>
        <v>40813.949999999997</v>
      </c>
      <c r="DE50" s="104">
        <f>SUM(DE45:DE49)</f>
        <v>38332.71</v>
      </c>
      <c r="DF50" s="104">
        <f t="shared" ref="DF50" si="276">SUM(DF45:DF48)</f>
        <v>24109.920000000002</v>
      </c>
      <c r="DG50" s="104">
        <v>22977.22</v>
      </c>
      <c r="DH50" s="104">
        <f>SUM(DH45:DH49)</f>
        <v>14089.119999999999</v>
      </c>
      <c r="DI50" s="104">
        <f t="shared" ref="DI50:DM50" si="277">SUM(DI45:DI48)</f>
        <v>8838.3100000000013</v>
      </c>
      <c r="DJ50" s="104">
        <f>SUM(DJ45:DJ49)</f>
        <v>8815.48</v>
      </c>
      <c r="DK50" s="104">
        <f t="shared" si="277"/>
        <v>8261.58</v>
      </c>
      <c r="DL50" s="104">
        <f t="shared" si="277"/>
        <v>11009.439999999999</v>
      </c>
      <c r="DM50" s="106">
        <f t="shared" si="277"/>
        <v>0</v>
      </c>
      <c r="DN50" s="168">
        <f>SUM(DN45:DN49)</f>
        <v>-107126.73000000001</v>
      </c>
      <c r="DO50" s="104">
        <f t="shared" ref="DO50:DY50" si="278">SUM(DO45:DO49)</f>
        <v>40954.730000000003</v>
      </c>
      <c r="DP50" s="104">
        <f t="shared" si="278"/>
        <v>-105008.49</v>
      </c>
      <c r="DQ50" s="104">
        <f t="shared" si="278"/>
        <v>43379.359999999993</v>
      </c>
      <c r="DR50" s="104">
        <f t="shared" si="278"/>
        <v>-22873.140000000003</v>
      </c>
      <c r="DS50" s="104">
        <f t="shared" si="278"/>
        <v>31250.510000000002</v>
      </c>
      <c r="DT50" s="104">
        <f t="shared" si="278"/>
        <v>-2545.9699999999993</v>
      </c>
      <c r="DU50" s="104">
        <f t="shared" si="278"/>
        <v>-2676.8799999999992</v>
      </c>
      <c r="DV50" s="104">
        <f t="shared" si="278"/>
        <v>21209.81</v>
      </c>
      <c r="DW50" s="104">
        <f t="shared" si="278"/>
        <v>8261.58</v>
      </c>
      <c r="DX50" s="104">
        <f t="shared" si="278"/>
        <v>-53724.04</v>
      </c>
      <c r="DY50" s="106">
        <f t="shared" si="278"/>
        <v>-161.55000000000001</v>
      </c>
    </row>
    <row r="51" spans="1:129" x14ac:dyDescent="0.25">
      <c r="A51" s="189" t="s">
        <v>28</v>
      </c>
      <c r="B51" s="168"/>
      <c r="C51" s="104"/>
      <c r="D51" s="104"/>
      <c r="E51" s="104"/>
      <c r="F51" s="104"/>
      <c r="G51" s="104"/>
      <c r="H51" s="104"/>
      <c r="I51" s="104"/>
      <c r="J51" s="104"/>
      <c r="K51" s="104"/>
      <c r="L51" s="168"/>
      <c r="M51" s="104"/>
      <c r="N51" s="104"/>
      <c r="O51" s="104"/>
      <c r="P51" s="104"/>
      <c r="Q51" s="104"/>
      <c r="R51" s="104"/>
      <c r="S51" s="104"/>
      <c r="T51" s="104"/>
      <c r="U51" s="104"/>
      <c r="V51" s="104"/>
      <c r="W51" s="104"/>
      <c r="X51" s="168"/>
      <c r="Y51" s="104"/>
      <c r="Z51" s="104"/>
      <c r="AA51" s="104"/>
      <c r="AB51" s="104"/>
      <c r="AC51" s="104"/>
      <c r="AD51" s="104"/>
      <c r="AE51" s="104"/>
      <c r="AF51" s="104"/>
      <c r="AG51" s="106"/>
      <c r="AH51" s="168"/>
      <c r="AI51" s="104"/>
      <c r="AJ51" s="104"/>
      <c r="AK51" s="104"/>
      <c r="AL51" s="104"/>
      <c r="AM51" s="104"/>
      <c r="AN51" s="104"/>
      <c r="AO51" s="104"/>
      <c r="AP51" s="104"/>
      <c r="AQ51" s="104"/>
      <c r="AR51" s="104"/>
      <c r="AS51" s="106"/>
      <c r="AT51" s="168"/>
      <c r="AU51" s="104"/>
      <c r="AV51" s="104"/>
      <c r="AW51" s="104"/>
      <c r="AX51" s="104"/>
      <c r="AY51" s="104"/>
      <c r="AZ51" s="104"/>
      <c r="BA51" s="104"/>
      <c r="BB51" s="104"/>
      <c r="BC51" s="104"/>
      <c r="BD51" s="104"/>
      <c r="BE51" s="106"/>
      <c r="BF51" s="168"/>
      <c r="BG51" s="104"/>
      <c r="BH51" s="104"/>
      <c r="BI51" s="104"/>
      <c r="BJ51" s="104"/>
      <c r="BK51" s="104"/>
      <c r="BL51" s="104"/>
      <c r="BM51" s="104"/>
      <c r="BN51" s="104"/>
      <c r="BO51" s="104"/>
      <c r="BP51" s="104"/>
      <c r="BQ51" s="106"/>
      <c r="BR51" s="168"/>
      <c r="BS51" s="104"/>
      <c r="BT51" s="104"/>
      <c r="BU51" s="104"/>
      <c r="BV51" s="104"/>
      <c r="BW51" s="104"/>
      <c r="BX51" s="104"/>
      <c r="BY51" s="104"/>
      <c r="BZ51" s="104"/>
      <c r="CA51" s="104"/>
      <c r="CB51" s="104"/>
      <c r="CC51" s="106"/>
      <c r="CD51" s="168"/>
      <c r="CE51" s="104"/>
      <c r="CF51" s="104"/>
      <c r="CG51" s="104"/>
      <c r="CH51" s="104"/>
      <c r="CI51" s="104"/>
      <c r="CJ51" s="104"/>
      <c r="CK51" s="104"/>
      <c r="CL51" s="104"/>
      <c r="CM51" s="104"/>
      <c r="CN51" s="104"/>
      <c r="CO51" s="106"/>
      <c r="CP51" s="104"/>
      <c r="CQ51" s="104"/>
      <c r="CR51" s="104"/>
      <c r="CS51" s="104"/>
      <c r="CT51" s="104"/>
      <c r="CU51" s="104"/>
      <c r="CV51" s="104"/>
      <c r="CW51" s="104"/>
      <c r="CX51" s="104"/>
      <c r="CY51" s="104"/>
      <c r="CZ51" s="104"/>
      <c r="DA51" s="106"/>
      <c r="DB51" s="168"/>
      <c r="DC51" s="104"/>
      <c r="DD51" s="104"/>
      <c r="DE51" s="104"/>
      <c r="DF51" s="104"/>
      <c r="DG51" s="104"/>
      <c r="DH51" s="104"/>
      <c r="DI51" s="104"/>
      <c r="DJ51" s="104"/>
      <c r="DK51" s="104"/>
      <c r="DL51" s="104"/>
      <c r="DM51" s="106"/>
      <c r="DN51" s="104"/>
      <c r="DO51" s="104"/>
      <c r="DP51" s="104"/>
      <c r="DQ51" s="104"/>
      <c r="DR51" s="104"/>
      <c r="DS51" s="104"/>
      <c r="DT51" s="104"/>
      <c r="DU51" s="104"/>
      <c r="DV51" s="104"/>
      <c r="DW51" s="104"/>
      <c r="DX51" s="104"/>
      <c r="DY51" s="106"/>
    </row>
    <row r="52" spans="1:129" x14ac:dyDescent="0.25">
      <c r="A52" s="188" t="s">
        <v>34</v>
      </c>
      <c r="B52" s="168">
        <v>4223.99</v>
      </c>
      <c r="C52" s="104">
        <v>46184.57</v>
      </c>
      <c r="D52" s="104">
        <v>34202.15</v>
      </c>
      <c r="E52" s="104">
        <v>20643.28</v>
      </c>
      <c r="F52" s="104">
        <v>3826.83</v>
      </c>
      <c r="G52" s="104">
        <v>1872.47</v>
      </c>
      <c r="H52" s="104">
        <v>-1627.98</v>
      </c>
      <c r="I52" s="104">
        <v>-1713.46</v>
      </c>
      <c r="J52" s="104">
        <v>-120.45</v>
      </c>
      <c r="K52" s="104">
        <v>3058.6</v>
      </c>
      <c r="L52" s="168">
        <v>4332.93</v>
      </c>
      <c r="M52" s="104">
        <v>-517.52</v>
      </c>
      <c r="N52" s="104">
        <v>-577.05999999999995</v>
      </c>
      <c r="O52" s="104">
        <v>36365.32</v>
      </c>
      <c r="P52" s="104">
        <v>23148.32</v>
      </c>
      <c r="Q52" s="104">
        <v>20393.43</v>
      </c>
      <c r="R52" s="104">
        <v>7581.99</v>
      </c>
      <c r="S52" s="104">
        <v>1596.8</v>
      </c>
      <c r="T52" s="104">
        <v>-454.89</v>
      </c>
      <c r="U52" s="104">
        <v>-1663.41</v>
      </c>
      <c r="V52" s="104">
        <v>1425.56</v>
      </c>
      <c r="W52" s="104">
        <v>4412.6499999999996</v>
      </c>
      <c r="X52" s="168">
        <f t="shared" ref="X52:AG56" si="279">B52-N52</f>
        <v>4801.0499999999993</v>
      </c>
      <c r="Y52" s="104">
        <f t="shared" si="279"/>
        <v>9819.25</v>
      </c>
      <c r="Z52" s="104">
        <f t="shared" si="279"/>
        <v>11053.830000000002</v>
      </c>
      <c r="AA52" s="104">
        <f t="shared" si="279"/>
        <v>249.84999999999854</v>
      </c>
      <c r="AB52" s="104">
        <f t="shared" si="279"/>
        <v>-3755.16</v>
      </c>
      <c r="AC52" s="104">
        <f t="shared" si="279"/>
        <v>275.67000000000007</v>
      </c>
      <c r="AD52" s="104">
        <f t="shared" si="279"/>
        <v>-1173.0900000000001</v>
      </c>
      <c r="AE52" s="104">
        <f t="shared" si="279"/>
        <v>-50.049999999999955</v>
      </c>
      <c r="AF52" s="104">
        <f t="shared" si="279"/>
        <v>-1546.01</v>
      </c>
      <c r="AG52" s="106">
        <f t="shared" si="279"/>
        <v>-1354.0499999999997</v>
      </c>
      <c r="AH52" s="168">
        <v>9346.89</v>
      </c>
      <c r="AI52" s="104">
        <v>7330.08</v>
      </c>
      <c r="AJ52" s="104">
        <v>14884.14</v>
      </c>
      <c r="AK52" s="104">
        <v>52215.49</v>
      </c>
      <c r="AL52" s="104">
        <v>21617.439999999999</v>
      </c>
      <c r="AM52" s="104">
        <v>33978.1</v>
      </c>
      <c r="AN52" s="104">
        <v>7055.96</v>
      </c>
      <c r="AO52" s="104">
        <v>437.88</v>
      </c>
      <c r="AP52" s="104">
        <v>-258.61</v>
      </c>
      <c r="AQ52" s="104">
        <v>-2757.1</v>
      </c>
      <c r="AR52" s="104">
        <v>-7541.81</v>
      </c>
      <c r="AS52" s="106">
        <v>1949.19</v>
      </c>
      <c r="AT52" s="168">
        <f>L52-AH52</f>
        <v>-5013.9599999999991</v>
      </c>
      <c r="AU52" s="104">
        <f t="shared" ref="AU52:BE56" si="280">M52-AI52</f>
        <v>-7847.6</v>
      </c>
      <c r="AV52" s="104">
        <f t="shared" si="280"/>
        <v>-15461.199999999999</v>
      </c>
      <c r="AW52" s="104">
        <f t="shared" si="280"/>
        <v>-15850.169999999998</v>
      </c>
      <c r="AX52" s="104">
        <f t="shared" si="280"/>
        <v>1530.880000000001</v>
      </c>
      <c r="AY52" s="104">
        <f t="shared" si="280"/>
        <v>-13584.669999999998</v>
      </c>
      <c r="AZ52" s="104">
        <f t="shared" si="280"/>
        <v>526.02999999999975</v>
      </c>
      <c r="BA52" s="104">
        <f t="shared" si="280"/>
        <v>1158.92</v>
      </c>
      <c r="BB52" s="104">
        <f t="shared" si="280"/>
        <v>-196.27999999999997</v>
      </c>
      <c r="BC52" s="104">
        <f t="shared" si="280"/>
        <v>1093.6899999999998</v>
      </c>
      <c r="BD52" s="104">
        <f t="shared" si="280"/>
        <v>8967.3700000000008</v>
      </c>
      <c r="BE52" s="106">
        <f t="shared" si="280"/>
        <v>2463.4599999999996</v>
      </c>
      <c r="BF52" s="168">
        <v>11433.94</v>
      </c>
      <c r="BG52" s="104">
        <v>4085.75</v>
      </c>
      <c r="BH52" s="104">
        <v>5797.4</v>
      </c>
      <c r="BI52" s="104">
        <v>73504.28</v>
      </c>
      <c r="BJ52" s="104">
        <v>53615.38</v>
      </c>
      <c r="BK52" s="104">
        <v>27396.81</v>
      </c>
      <c r="BL52" s="104">
        <v>9557.06</v>
      </c>
      <c r="BM52" s="104">
        <v>8606.5499999999993</v>
      </c>
      <c r="BN52" s="104">
        <v>3955.43</v>
      </c>
      <c r="BO52" s="104">
        <v>-9054.2900000000009</v>
      </c>
      <c r="BP52" s="104">
        <v>3200.82</v>
      </c>
      <c r="BQ52" s="106">
        <v>6605.62</v>
      </c>
      <c r="BR52" s="168">
        <f t="shared" ref="BR52:BR56" si="281">AH52-BF52</f>
        <v>-2087.0500000000011</v>
      </c>
      <c r="BS52" s="104">
        <f t="shared" ref="BS52:BS56" si="282">AI52-BG52</f>
        <v>3244.33</v>
      </c>
      <c r="BT52" s="104">
        <f t="shared" ref="BT52:BT56" si="283">AJ52-BH52</f>
        <v>9086.74</v>
      </c>
      <c r="BU52" s="104">
        <f t="shared" ref="BU52:BU56" si="284">AK52-BI52</f>
        <v>-21288.79</v>
      </c>
      <c r="BV52" s="104">
        <f t="shared" ref="BV52:BV56" si="285">AL52-BJ52</f>
        <v>-31997.94</v>
      </c>
      <c r="BW52" s="104">
        <f t="shared" ref="BW52:BW56" si="286">AM52-BK52</f>
        <v>6581.2899999999972</v>
      </c>
      <c r="BX52" s="104">
        <f t="shared" ref="BX52:BX56" si="287">AN52-BL52</f>
        <v>-2501.0999999999995</v>
      </c>
      <c r="BY52" s="104">
        <f t="shared" ref="BY52:BY56" si="288">AO52-BM52</f>
        <v>-8168.6699999999992</v>
      </c>
      <c r="BZ52" s="104">
        <f t="shared" ref="BZ52:BZ56" si="289">AP52-BN52</f>
        <v>-4214.04</v>
      </c>
      <c r="CA52" s="104">
        <f t="shared" ref="CA52:CA56" si="290">AQ52-BO52</f>
        <v>6297.1900000000005</v>
      </c>
      <c r="CB52" s="104">
        <f t="shared" ref="CB52:CB56" si="291">AR52-BP52</f>
        <v>-10742.630000000001</v>
      </c>
      <c r="CC52" s="106">
        <f t="shared" ref="CC52:CC56" si="292">AS52-BQ52</f>
        <v>-4656.43</v>
      </c>
      <c r="CD52" s="168">
        <v>12867.99</v>
      </c>
      <c r="CE52" s="104">
        <v>4208.3100000000004</v>
      </c>
      <c r="CF52" s="104">
        <v>16929.45</v>
      </c>
      <c r="CG52" s="104">
        <v>74325.59</v>
      </c>
      <c r="CH52" s="104">
        <v>45145.39</v>
      </c>
      <c r="CI52" s="104">
        <v>18468.09</v>
      </c>
      <c r="CJ52" s="104">
        <v>8358.2800000000007</v>
      </c>
      <c r="CK52" s="104">
        <v>4837.1099999999997</v>
      </c>
      <c r="CL52" s="104">
        <v>938.39</v>
      </c>
      <c r="CM52" s="104">
        <v>0</v>
      </c>
      <c r="CN52" s="104">
        <v>0</v>
      </c>
      <c r="CO52" s="106">
        <v>38944.379999999997</v>
      </c>
      <c r="CP52" s="104">
        <f t="shared" ref="CP52:DA57" si="293">CD52-BF52</f>
        <v>1434.0499999999993</v>
      </c>
      <c r="CQ52" s="104">
        <f t="shared" si="293"/>
        <v>122.5600000000004</v>
      </c>
      <c r="CR52" s="104">
        <f t="shared" si="293"/>
        <v>11132.050000000001</v>
      </c>
      <c r="CS52" s="104">
        <f t="shared" si="293"/>
        <v>821.30999999999767</v>
      </c>
      <c r="CT52" s="104">
        <f t="shared" si="293"/>
        <v>-8469.989999999998</v>
      </c>
      <c r="CU52" s="104">
        <f t="shared" si="293"/>
        <v>-8928.7200000000012</v>
      </c>
      <c r="CV52" s="104">
        <f t="shared" si="293"/>
        <v>-1198.7799999999988</v>
      </c>
      <c r="CW52" s="104">
        <f t="shared" si="293"/>
        <v>-3769.4399999999996</v>
      </c>
      <c r="CX52" s="104">
        <f t="shared" si="293"/>
        <v>-3017.04</v>
      </c>
      <c r="CY52" s="104">
        <f t="shared" si="293"/>
        <v>9054.2900000000009</v>
      </c>
      <c r="CZ52" s="104">
        <f t="shared" si="293"/>
        <v>-3200.82</v>
      </c>
      <c r="DA52" s="106">
        <f t="shared" si="293"/>
        <v>32338.76</v>
      </c>
      <c r="DB52" s="168">
        <v>180</v>
      </c>
      <c r="DC52" s="104">
        <v>6956.82</v>
      </c>
      <c r="DD52" s="104">
        <v>34193.19</v>
      </c>
      <c r="DE52" s="104">
        <v>17608.990000000002</v>
      </c>
      <c r="DF52" s="104">
        <f>288.02+13899.72</f>
        <v>14187.74</v>
      </c>
      <c r="DG52" s="104">
        <v>6521.62</v>
      </c>
      <c r="DH52" s="104">
        <v>6192.6799999999994</v>
      </c>
      <c r="DI52" s="104">
        <v>4073.24</v>
      </c>
      <c r="DJ52" s="104">
        <v>4051.7799999999997</v>
      </c>
      <c r="DK52" s="104">
        <v>2671.48</v>
      </c>
      <c r="DL52" s="104">
        <v>2378.9299999999998</v>
      </c>
      <c r="DM52" s="106"/>
      <c r="DN52" s="104">
        <f>DB52-CD52</f>
        <v>-12687.99</v>
      </c>
      <c r="DO52" s="104">
        <f t="shared" ref="DO52:DY56" si="294">DC52-CE52</f>
        <v>2748.5099999999993</v>
      </c>
      <c r="DP52" s="104">
        <f t="shared" si="294"/>
        <v>17263.740000000002</v>
      </c>
      <c r="DQ52" s="104">
        <f t="shared" si="294"/>
        <v>-56716.599999999991</v>
      </c>
      <c r="DR52" s="104">
        <f t="shared" si="294"/>
        <v>-30957.65</v>
      </c>
      <c r="DS52" s="104">
        <f t="shared" si="294"/>
        <v>-11946.470000000001</v>
      </c>
      <c r="DT52" s="104">
        <f t="shared" si="294"/>
        <v>-2165.6000000000013</v>
      </c>
      <c r="DU52" s="104">
        <f t="shared" si="294"/>
        <v>-763.86999999999989</v>
      </c>
      <c r="DV52" s="104">
        <f t="shared" si="294"/>
        <v>3113.39</v>
      </c>
      <c r="DW52" s="104">
        <f t="shared" si="294"/>
        <v>2671.48</v>
      </c>
      <c r="DX52" s="104">
        <f t="shared" si="294"/>
        <v>2378.9299999999998</v>
      </c>
      <c r="DY52" s="106">
        <f t="shared" si="294"/>
        <v>-38944.379999999997</v>
      </c>
    </row>
    <row r="53" spans="1:129" x14ac:dyDescent="0.25">
      <c r="A53" s="188" t="s">
        <v>35</v>
      </c>
      <c r="B53" s="168">
        <v>585.04999999999995</v>
      </c>
      <c r="C53" s="104">
        <v>2896.24</v>
      </c>
      <c r="D53" s="104">
        <v>1430.9</v>
      </c>
      <c r="E53" s="104">
        <v>-1541.95</v>
      </c>
      <c r="F53" s="104">
        <v>-766.57</v>
      </c>
      <c r="G53" s="104">
        <v>-1087.8900000000001</v>
      </c>
      <c r="H53" s="104">
        <v>-16.649999999999999</v>
      </c>
      <c r="I53" s="104">
        <v>131.97999999999999</v>
      </c>
      <c r="J53" s="104">
        <v>114.46</v>
      </c>
      <c r="K53" s="104">
        <v>258.98</v>
      </c>
      <c r="L53" s="168">
        <v>1225.23</v>
      </c>
      <c r="M53" s="104">
        <v>0</v>
      </c>
      <c r="N53" s="104">
        <v>-57.92</v>
      </c>
      <c r="O53" s="104">
        <v>1867.39</v>
      </c>
      <c r="P53" s="104">
        <v>1671.17</v>
      </c>
      <c r="Q53" s="104">
        <v>1284.5</v>
      </c>
      <c r="R53" s="104">
        <v>360.4</v>
      </c>
      <c r="S53" s="104">
        <v>612.37</v>
      </c>
      <c r="T53" s="104">
        <v>655.35</v>
      </c>
      <c r="U53" s="104">
        <v>-380.36</v>
      </c>
      <c r="V53" s="104">
        <v>367.18</v>
      </c>
      <c r="W53" s="104">
        <v>1094.32</v>
      </c>
      <c r="X53" s="168">
        <f t="shared" si="279"/>
        <v>642.96999999999991</v>
      </c>
      <c r="Y53" s="104">
        <f t="shared" si="279"/>
        <v>1028.8499999999997</v>
      </c>
      <c r="Z53" s="104">
        <f t="shared" si="279"/>
        <v>-240.26999999999998</v>
      </c>
      <c r="AA53" s="104">
        <f t="shared" si="279"/>
        <v>-2826.45</v>
      </c>
      <c r="AB53" s="104">
        <f t="shared" si="279"/>
        <v>-1126.97</v>
      </c>
      <c r="AC53" s="104">
        <f t="shared" si="279"/>
        <v>-1700.2600000000002</v>
      </c>
      <c r="AD53" s="104">
        <f t="shared" si="279"/>
        <v>-672</v>
      </c>
      <c r="AE53" s="104">
        <f t="shared" si="279"/>
        <v>512.34</v>
      </c>
      <c r="AF53" s="104">
        <f t="shared" si="279"/>
        <v>-252.72000000000003</v>
      </c>
      <c r="AG53" s="106">
        <f t="shared" si="279"/>
        <v>-835.33999999999992</v>
      </c>
      <c r="AH53" s="168">
        <v>3271.16</v>
      </c>
      <c r="AI53" s="104">
        <v>2847.48</v>
      </c>
      <c r="AJ53" s="104">
        <v>3905.96</v>
      </c>
      <c r="AK53" s="104">
        <v>730.11</v>
      </c>
      <c r="AL53" s="104">
        <v>1036.5</v>
      </c>
      <c r="AM53" s="104">
        <v>-890.92</v>
      </c>
      <c r="AN53" s="104">
        <v>-4293.21</v>
      </c>
      <c r="AO53" s="104">
        <v>221.81</v>
      </c>
      <c r="AP53" s="104">
        <v>-428.3</v>
      </c>
      <c r="AQ53" s="104">
        <v>-1992.87</v>
      </c>
      <c r="AR53" s="104">
        <v>426.98</v>
      </c>
      <c r="AS53" s="106">
        <v>74.05</v>
      </c>
      <c r="AT53" s="168">
        <f t="shared" ref="AT53:AT56" si="295">L53-AH53</f>
        <v>-2045.9299999999998</v>
      </c>
      <c r="AU53" s="104">
        <f t="shared" si="280"/>
        <v>-2847.48</v>
      </c>
      <c r="AV53" s="104">
        <f t="shared" si="280"/>
        <v>-3963.88</v>
      </c>
      <c r="AW53" s="104">
        <f t="shared" si="280"/>
        <v>1137.2800000000002</v>
      </c>
      <c r="AX53" s="104">
        <f t="shared" si="280"/>
        <v>634.67000000000007</v>
      </c>
      <c r="AY53" s="104">
        <f t="shared" si="280"/>
        <v>2175.42</v>
      </c>
      <c r="AZ53" s="104">
        <f t="shared" si="280"/>
        <v>4653.6099999999997</v>
      </c>
      <c r="BA53" s="104">
        <f t="shared" si="280"/>
        <v>390.56</v>
      </c>
      <c r="BB53" s="104">
        <f t="shared" si="280"/>
        <v>1083.6500000000001</v>
      </c>
      <c r="BC53" s="104">
        <f t="shared" si="280"/>
        <v>1612.5099999999998</v>
      </c>
      <c r="BD53" s="104">
        <f t="shared" si="280"/>
        <v>-59.800000000000011</v>
      </c>
      <c r="BE53" s="106">
        <f t="shared" si="280"/>
        <v>1020.27</v>
      </c>
      <c r="BF53" s="168">
        <v>672.53</v>
      </c>
      <c r="BG53" s="104">
        <v>-966.89</v>
      </c>
      <c r="BH53" s="104">
        <v>809.95</v>
      </c>
      <c r="BI53" s="104">
        <v>11670.13</v>
      </c>
      <c r="BJ53" s="104">
        <v>3801.63</v>
      </c>
      <c r="BK53" s="104">
        <v>1067.144</v>
      </c>
      <c r="BL53" s="104">
        <v>-13436.72</v>
      </c>
      <c r="BM53" s="104">
        <v>-7542.61</v>
      </c>
      <c r="BN53" s="104">
        <v>-597.76</v>
      </c>
      <c r="BO53" s="104">
        <v>-4331.8</v>
      </c>
      <c r="BP53" s="104">
        <v>-2697.19</v>
      </c>
      <c r="BQ53" s="106">
        <v>-577.96</v>
      </c>
      <c r="BR53" s="168">
        <f t="shared" si="281"/>
        <v>2598.63</v>
      </c>
      <c r="BS53" s="104">
        <f t="shared" si="282"/>
        <v>3814.37</v>
      </c>
      <c r="BT53" s="104">
        <f t="shared" si="283"/>
        <v>3096.01</v>
      </c>
      <c r="BU53" s="104">
        <f t="shared" si="284"/>
        <v>-10940.019999999999</v>
      </c>
      <c r="BV53" s="104">
        <f t="shared" si="285"/>
        <v>-2765.13</v>
      </c>
      <c r="BW53" s="104">
        <f t="shared" si="286"/>
        <v>-1958.0639999999999</v>
      </c>
      <c r="BX53" s="104">
        <f t="shared" si="287"/>
        <v>9143.5099999999984</v>
      </c>
      <c r="BY53" s="104">
        <f t="shared" si="288"/>
        <v>7764.42</v>
      </c>
      <c r="BZ53" s="104">
        <f t="shared" si="289"/>
        <v>169.45999999999998</v>
      </c>
      <c r="CA53" s="104">
        <f t="shared" si="290"/>
        <v>2338.9300000000003</v>
      </c>
      <c r="CB53" s="104">
        <f t="shared" si="291"/>
        <v>3124.17</v>
      </c>
      <c r="CC53" s="106">
        <f t="shared" si="292"/>
        <v>652.01</v>
      </c>
      <c r="CD53" s="168">
        <v>992.02</v>
      </c>
      <c r="CE53" s="104">
        <v>-10.220000000000001</v>
      </c>
      <c r="CF53" s="104">
        <v>4183.26</v>
      </c>
      <c r="CG53" s="104">
        <v>6330.73</v>
      </c>
      <c r="CH53" s="104">
        <v>1210.57</v>
      </c>
      <c r="CI53" s="104">
        <v>-5163.96</v>
      </c>
      <c r="CJ53" s="104">
        <v>1204.04</v>
      </c>
      <c r="CK53" s="104">
        <v>-4242.3900000000003</v>
      </c>
      <c r="CL53" s="104">
        <v>-109.79</v>
      </c>
      <c r="CM53" s="104">
        <v>0</v>
      </c>
      <c r="CN53" s="104">
        <v>0</v>
      </c>
      <c r="CO53" s="106">
        <v>10995.11</v>
      </c>
      <c r="CP53" s="104">
        <f t="shared" si="293"/>
        <v>319.49</v>
      </c>
      <c r="CQ53" s="104">
        <f t="shared" si="293"/>
        <v>956.67</v>
      </c>
      <c r="CR53" s="104">
        <f t="shared" si="293"/>
        <v>3373.3100000000004</v>
      </c>
      <c r="CS53" s="104">
        <f t="shared" si="293"/>
        <v>-5339.4</v>
      </c>
      <c r="CT53" s="104">
        <f t="shared" si="293"/>
        <v>-2591.0600000000004</v>
      </c>
      <c r="CU53" s="104">
        <f t="shared" si="293"/>
        <v>-6231.1040000000003</v>
      </c>
      <c r="CV53" s="104">
        <f t="shared" si="293"/>
        <v>14640.759999999998</v>
      </c>
      <c r="CW53" s="104">
        <f t="shared" si="293"/>
        <v>3300.2199999999993</v>
      </c>
      <c r="CX53" s="104">
        <f t="shared" si="293"/>
        <v>487.96999999999997</v>
      </c>
      <c r="CY53" s="104">
        <f t="shared" si="293"/>
        <v>4331.8</v>
      </c>
      <c r="CZ53" s="104">
        <f t="shared" si="293"/>
        <v>2697.19</v>
      </c>
      <c r="DA53" s="106">
        <f t="shared" si="293"/>
        <v>11573.07</v>
      </c>
      <c r="DB53" s="168">
        <v>0</v>
      </c>
      <c r="DC53" s="104">
        <v>1713.63</v>
      </c>
      <c r="DD53" s="104">
        <v>12250.33</v>
      </c>
      <c r="DE53" s="104">
        <v>7076.09</v>
      </c>
      <c r="DF53" s="104">
        <f>122.17+6238.45</f>
        <v>6360.62</v>
      </c>
      <c r="DG53" s="104">
        <v>3484.9300000000003</v>
      </c>
      <c r="DH53" s="104">
        <v>3802.78</v>
      </c>
      <c r="DI53" s="104">
        <v>2016.6100000000001</v>
      </c>
      <c r="DJ53" s="104">
        <v>2016.6100000000001</v>
      </c>
      <c r="DK53" s="104">
        <v>964.31</v>
      </c>
      <c r="DL53" s="104">
        <v>807.95</v>
      </c>
      <c r="DM53" s="106"/>
      <c r="DN53" s="104">
        <f t="shared" ref="DN53:DN56" si="296">DB53-CD53</f>
        <v>-992.02</v>
      </c>
      <c r="DO53" s="104">
        <f t="shared" si="294"/>
        <v>1723.8500000000001</v>
      </c>
      <c r="DP53" s="104">
        <f t="shared" si="294"/>
        <v>8067.07</v>
      </c>
      <c r="DQ53" s="104">
        <f t="shared" si="294"/>
        <v>745.36000000000058</v>
      </c>
      <c r="DR53" s="104">
        <f t="shared" si="294"/>
        <v>5150.05</v>
      </c>
      <c r="DS53" s="104">
        <f t="shared" si="294"/>
        <v>8648.89</v>
      </c>
      <c r="DT53" s="104">
        <f t="shared" si="294"/>
        <v>2598.7400000000002</v>
      </c>
      <c r="DU53" s="104">
        <f t="shared" si="294"/>
        <v>6259</v>
      </c>
      <c r="DV53" s="104">
        <f t="shared" si="294"/>
        <v>2126.4</v>
      </c>
      <c r="DW53" s="104">
        <f t="shared" si="294"/>
        <v>964.31</v>
      </c>
      <c r="DX53" s="104">
        <f t="shared" si="294"/>
        <v>807.95</v>
      </c>
      <c r="DY53" s="106">
        <f t="shared" si="294"/>
        <v>-10995.11</v>
      </c>
    </row>
    <row r="54" spans="1:129" x14ac:dyDescent="0.25">
      <c r="A54" s="188" t="s">
        <v>36</v>
      </c>
      <c r="B54" s="168">
        <v>245.85</v>
      </c>
      <c r="C54" s="104">
        <v>2859.34</v>
      </c>
      <c r="D54" s="104">
        <v>1262.22</v>
      </c>
      <c r="E54" s="104">
        <v>777.6</v>
      </c>
      <c r="F54" s="104">
        <v>304.45</v>
      </c>
      <c r="G54" s="104">
        <v>543.25</v>
      </c>
      <c r="H54" s="104">
        <v>505.74</v>
      </c>
      <c r="I54" s="104">
        <v>-3616.7</v>
      </c>
      <c r="J54" s="104">
        <v>-0.2</v>
      </c>
      <c r="K54" s="104">
        <v>-180.59</v>
      </c>
      <c r="L54" s="168">
        <v>260.77999999999997</v>
      </c>
      <c r="M54" s="104">
        <v>-412.72</v>
      </c>
      <c r="N54" s="104">
        <v>-2784.58</v>
      </c>
      <c r="O54" s="104">
        <v>2667.9</v>
      </c>
      <c r="P54" s="104">
        <v>4832.46</v>
      </c>
      <c r="Q54" s="104">
        <v>3236.32</v>
      </c>
      <c r="R54" s="104">
        <v>750.05</v>
      </c>
      <c r="S54" s="104">
        <v>40.08</v>
      </c>
      <c r="T54" s="104">
        <v>650.51</v>
      </c>
      <c r="U54" s="104">
        <v>-141.97</v>
      </c>
      <c r="V54" s="104">
        <v>-31.18</v>
      </c>
      <c r="W54" s="104">
        <v>-47.86</v>
      </c>
      <c r="X54" s="168">
        <f t="shared" si="279"/>
        <v>3030.43</v>
      </c>
      <c r="Y54" s="104">
        <f t="shared" si="279"/>
        <v>191.44000000000005</v>
      </c>
      <c r="Z54" s="104">
        <f t="shared" si="279"/>
        <v>-3570.24</v>
      </c>
      <c r="AA54" s="104">
        <f t="shared" si="279"/>
        <v>-2458.7200000000003</v>
      </c>
      <c r="AB54" s="104">
        <f t="shared" si="279"/>
        <v>-445.59999999999997</v>
      </c>
      <c r="AC54" s="104">
        <f t="shared" si="279"/>
        <v>503.17</v>
      </c>
      <c r="AD54" s="104">
        <f t="shared" si="279"/>
        <v>-144.76999999999998</v>
      </c>
      <c r="AE54" s="104">
        <f t="shared" si="279"/>
        <v>-3474.73</v>
      </c>
      <c r="AF54" s="104">
        <f t="shared" si="279"/>
        <v>30.98</v>
      </c>
      <c r="AG54" s="106">
        <f t="shared" si="279"/>
        <v>-132.73000000000002</v>
      </c>
      <c r="AH54" s="168">
        <v>711.38</v>
      </c>
      <c r="AI54" s="104">
        <v>232.78</v>
      </c>
      <c r="AJ54" s="104">
        <v>577.07000000000005</v>
      </c>
      <c r="AK54" s="104">
        <v>-140.72</v>
      </c>
      <c r="AL54" s="104">
        <v>-138.97999999999999</v>
      </c>
      <c r="AM54" s="104">
        <v>-3924.88</v>
      </c>
      <c r="AN54" s="104">
        <v>471.72</v>
      </c>
      <c r="AO54" s="104">
        <v>-400.29</v>
      </c>
      <c r="AP54" s="104">
        <v>935.06</v>
      </c>
      <c r="AQ54" s="104">
        <v>226.8</v>
      </c>
      <c r="AR54" s="104">
        <v>366.18</v>
      </c>
      <c r="AS54" s="106">
        <v>1281.68</v>
      </c>
      <c r="AT54" s="168">
        <f t="shared" si="295"/>
        <v>-450.6</v>
      </c>
      <c r="AU54" s="104">
        <f t="shared" si="280"/>
        <v>-645.5</v>
      </c>
      <c r="AV54" s="104">
        <f t="shared" si="280"/>
        <v>-3361.65</v>
      </c>
      <c r="AW54" s="104">
        <f t="shared" si="280"/>
        <v>2808.62</v>
      </c>
      <c r="AX54" s="104">
        <f t="shared" si="280"/>
        <v>4971.4399999999996</v>
      </c>
      <c r="AY54" s="104">
        <f t="shared" si="280"/>
        <v>7161.2000000000007</v>
      </c>
      <c r="AZ54" s="104">
        <f t="shared" si="280"/>
        <v>278.32999999999993</v>
      </c>
      <c r="BA54" s="104">
        <f t="shared" si="280"/>
        <v>440.37</v>
      </c>
      <c r="BB54" s="104">
        <f t="shared" si="280"/>
        <v>-284.54999999999995</v>
      </c>
      <c r="BC54" s="104">
        <f t="shared" si="280"/>
        <v>-368.77</v>
      </c>
      <c r="BD54" s="104">
        <f t="shared" si="280"/>
        <v>-397.36</v>
      </c>
      <c r="BE54" s="106">
        <f t="shared" si="280"/>
        <v>-1329.54</v>
      </c>
      <c r="BF54" s="168">
        <v>1090.53</v>
      </c>
      <c r="BG54" s="104">
        <v>-827.17</v>
      </c>
      <c r="BH54" s="104">
        <v>-1.03</v>
      </c>
      <c r="BI54" s="104">
        <v>4113.8500000000004</v>
      </c>
      <c r="BJ54" s="104">
        <v>17487.86</v>
      </c>
      <c r="BK54" s="104">
        <v>6472.52</v>
      </c>
      <c r="BL54" s="104">
        <v>1137.8800000000001</v>
      </c>
      <c r="BM54" s="104">
        <v>-81.17</v>
      </c>
      <c r="BN54" s="104">
        <v>-111.53</v>
      </c>
      <c r="BO54" s="104">
        <v>126.11</v>
      </c>
      <c r="BP54" s="104">
        <v>24.92</v>
      </c>
      <c r="BQ54" s="106">
        <v>279.66000000000003</v>
      </c>
      <c r="BR54" s="168">
        <f t="shared" si="281"/>
        <v>-379.15</v>
      </c>
      <c r="BS54" s="104">
        <f t="shared" si="282"/>
        <v>1059.95</v>
      </c>
      <c r="BT54" s="104">
        <f t="shared" si="283"/>
        <v>578.1</v>
      </c>
      <c r="BU54" s="104">
        <f t="shared" si="284"/>
        <v>-4254.5700000000006</v>
      </c>
      <c r="BV54" s="104">
        <f t="shared" si="285"/>
        <v>-17626.84</v>
      </c>
      <c r="BW54" s="104">
        <f t="shared" si="286"/>
        <v>-10397.400000000001</v>
      </c>
      <c r="BX54" s="104">
        <f t="shared" si="287"/>
        <v>-666.16000000000008</v>
      </c>
      <c r="BY54" s="104">
        <f t="shared" si="288"/>
        <v>-319.12</v>
      </c>
      <c r="BZ54" s="104">
        <f t="shared" si="289"/>
        <v>1046.5899999999999</v>
      </c>
      <c r="CA54" s="104">
        <f t="shared" si="290"/>
        <v>100.69000000000001</v>
      </c>
      <c r="CB54" s="104">
        <f t="shared" si="291"/>
        <v>341.26</v>
      </c>
      <c r="CC54" s="106">
        <f t="shared" si="292"/>
        <v>1002.02</v>
      </c>
      <c r="CD54" s="168">
        <v>911.85</v>
      </c>
      <c r="CE54" s="104">
        <v>-72.53</v>
      </c>
      <c r="CF54" s="104">
        <v>38.880000000000003</v>
      </c>
      <c r="CG54" s="104">
        <v>8021.34</v>
      </c>
      <c r="CH54" s="104">
        <v>5496.04</v>
      </c>
      <c r="CI54" s="104">
        <v>4953.43</v>
      </c>
      <c r="CJ54" s="104">
        <v>-2423.3200000000002</v>
      </c>
      <c r="CK54" s="104">
        <v>970.39</v>
      </c>
      <c r="CL54" s="104">
        <v>639.94000000000005</v>
      </c>
      <c r="CM54" s="104">
        <v>0</v>
      </c>
      <c r="CN54" s="104">
        <v>0</v>
      </c>
      <c r="CO54" s="106">
        <v>1472.7199999999998</v>
      </c>
      <c r="CP54" s="104">
        <f t="shared" si="293"/>
        <v>-178.67999999999995</v>
      </c>
      <c r="CQ54" s="104">
        <f t="shared" si="293"/>
        <v>754.64</v>
      </c>
      <c r="CR54" s="104">
        <f t="shared" si="293"/>
        <v>39.910000000000004</v>
      </c>
      <c r="CS54" s="104">
        <f t="shared" si="293"/>
        <v>3907.49</v>
      </c>
      <c r="CT54" s="104">
        <f t="shared" si="293"/>
        <v>-11991.82</v>
      </c>
      <c r="CU54" s="104">
        <f t="shared" si="293"/>
        <v>-1519.0900000000001</v>
      </c>
      <c r="CV54" s="104">
        <f t="shared" si="293"/>
        <v>-3561.2000000000003</v>
      </c>
      <c r="CW54" s="104">
        <f t="shared" si="293"/>
        <v>1051.56</v>
      </c>
      <c r="CX54" s="104">
        <f t="shared" si="293"/>
        <v>751.47</v>
      </c>
      <c r="CY54" s="104">
        <f t="shared" si="293"/>
        <v>-126.11</v>
      </c>
      <c r="CZ54" s="104">
        <f t="shared" si="293"/>
        <v>-24.92</v>
      </c>
      <c r="DA54" s="106">
        <f t="shared" si="293"/>
        <v>1193.0599999999997</v>
      </c>
      <c r="DB54" s="168">
        <v>0</v>
      </c>
      <c r="DC54" s="104">
        <v>1033.9100000000001</v>
      </c>
      <c r="DD54" s="104">
        <v>5551.59</v>
      </c>
      <c r="DE54" s="104">
        <v>1509.22</v>
      </c>
      <c r="DF54" s="104">
        <f>604.4+340.29</f>
        <v>944.69</v>
      </c>
      <c r="DG54" s="104">
        <v>442.35</v>
      </c>
      <c r="DH54" s="104">
        <v>4665.1299999999992</v>
      </c>
      <c r="DI54" s="104">
        <v>2368.1799999999998</v>
      </c>
      <c r="DJ54" s="104">
        <v>1882.4699999999998</v>
      </c>
      <c r="DK54" s="104">
        <v>565.67000000000007</v>
      </c>
      <c r="DL54" s="104">
        <v>640.83999999999992</v>
      </c>
      <c r="DM54" s="106"/>
      <c r="DN54" s="104">
        <f t="shared" si="296"/>
        <v>-911.85</v>
      </c>
      <c r="DO54" s="104">
        <f t="shared" si="294"/>
        <v>1106.44</v>
      </c>
      <c r="DP54" s="104">
        <f t="shared" si="294"/>
        <v>5512.71</v>
      </c>
      <c r="DQ54" s="104">
        <f t="shared" si="294"/>
        <v>-6512.12</v>
      </c>
      <c r="DR54" s="104">
        <f t="shared" si="294"/>
        <v>-4551.3500000000004</v>
      </c>
      <c r="DS54" s="104">
        <f t="shared" si="294"/>
        <v>-4511.08</v>
      </c>
      <c r="DT54" s="104">
        <f t="shared" si="294"/>
        <v>7088.4499999999989</v>
      </c>
      <c r="DU54" s="104">
        <f t="shared" si="294"/>
        <v>1397.79</v>
      </c>
      <c r="DV54" s="104">
        <f t="shared" si="294"/>
        <v>1242.5299999999997</v>
      </c>
      <c r="DW54" s="104">
        <f t="shared" si="294"/>
        <v>565.67000000000007</v>
      </c>
      <c r="DX54" s="104">
        <f t="shared" si="294"/>
        <v>640.83999999999992</v>
      </c>
      <c r="DY54" s="106">
        <f t="shared" si="294"/>
        <v>-1472.7199999999998</v>
      </c>
    </row>
    <row r="55" spans="1:129" x14ac:dyDescent="0.25">
      <c r="A55" s="188" t="s">
        <v>37</v>
      </c>
      <c r="B55" s="168">
        <v>0</v>
      </c>
      <c r="C55" s="104">
        <v>0</v>
      </c>
      <c r="D55" s="104">
        <v>0</v>
      </c>
      <c r="E55" s="104">
        <v>0</v>
      </c>
      <c r="F55" s="104">
        <v>0</v>
      </c>
      <c r="G55" s="104">
        <v>0</v>
      </c>
      <c r="H55" s="104">
        <v>0</v>
      </c>
      <c r="I55" s="104">
        <v>0</v>
      </c>
      <c r="J55" s="104">
        <v>0</v>
      </c>
      <c r="K55" s="104">
        <v>0</v>
      </c>
      <c r="L55" s="168">
        <v>0</v>
      </c>
      <c r="M55" s="104">
        <v>0</v>
      </c>
      <c r="N55" s="104">
        <v>0</v>
      </c>
      <c r="O55" s="104">
        <v>0</v>
      </c>
      <c r="P55" s="104">
        <v>0</v>
      </c>
      <c r="Q55" s="104">
        <v>0</v>
      </c>
      <c r="R55" s="104">
        <v>0</v>
      </c>
      <c r="S55" s="104">
        <v>0</v>
      </c>
      <c r="T55" s="104">
        <v>0</v>
      </c>
      <c r="U55" s="104">
        <v>0</v>
      </c>
      <c r="V55" s="104">
        <v>0</v>
      </c>
      <c r="W55" s="104">
        <v>0</v>
      </c>
      <c r="X55" s="168">
        <f t="shared" si="279"/>
        <v>0</v>
      </c>
      <c r="Y55" s="104">
        <f t="shared" si="279"/>
        <v>0</v>
      </c>
      <c r="Z55" s="104">
        <f t="shared" si="279"/>
        <v>0</v>
      </c>
      <c r="AA55" s="104">
        <f t="shared" si="279"/>
        <v>0</v>
      </c>
      <c r="AB55" s="104">
        <f t="shared" si="279"/>
        <v>0</v>
      </c>
      <c r="AC55" s="104">
        <f t="shared" si="279"/>
        <v>0</v>
      </c>
      <c r="AD55" s="104">
        <f t="shared" si="279"/>
        <v>0</v>
      </c>
      <c r="AE55" s="104">
        <f t="shared" si="279"/>
        <v>0</v>
      </c>
      <c r="AF55" s="104">
        <f t="shared" si="279"/>
        <v>0</v>
      </c>
      <c r="AG55" s="106">
        <f t="shared" si="279"/>
        <v>0</v>
      </c>
      <c r="AH55" s="168">
        <v>0</v>
      </c>
      <c r="AI55" s="104">
        <v>0</v>
      </c>
      <c r="AJ55" s="104">
        <v>0</v>
      </c>
      <c r="AK55" s="104">
        <v>0</v>
      </c>
      <c r="AL55" s="104">
        <v>0</v>
      </c>
      <c r="AM55" s="104">
        <v>0</v>
      </c>
      <c r="AN55" s="104">
        <v>0</v>
      </c>
      <c r="AO55" s="104">
        <v>0</v>
      </c>
      <c r="AP55" s="104">
        <v>0</v>
      </c>
      <c r="AQ55" s="104">
        <v>0</v>
      </c>
      <c r="AR55" s="104">
        <v>1193.83</v>
      </c>
      <c r="AS55" s="106">
        <v>0</v>
      </c>
      <c r="AT55" s="168">
        <f t="shared" si="295"/>
        <v>0</v>
      </c>
      <c r="AU55" s="104">
        <f t="shared" si="280"/>
        <v>0</v>
      </c>
      <c r="AV55" s="104">
        <f t="shared" si="280"/>
        <v>0</v>
      </c>
      <c r="AW55" s="104">
        <f t="shared" si="280"/>
        <v>0</v>
      </c>
      <c r="AX55" s="104">
        <f t="shared" si="280"/>
        <v>0</v>
      </c>
      <c r="AY55" s="104">
        <f t="shared" si="280"/>
        <v>0</v>
      </c>
      <c r="AZ55" s="104">
        <f t="shared" si="280"/>
        <v>0</v>
      </c>
      <c r="BA55" s="104">
        <f t="shared" si="280"/>
        <v>0</v>
      </c>
      <c r="BB55" s="104">
        <f t="shared" si="280"/>
        <v>0</v>
      </c>
      <c r="BC55" s="104">
        <f t="shared" si="280"/>
        <v>0</v>
      </c>
      <c r="BD55" s="104">
        <f t="shared" si="280"/>
        <v>-1193.83</v>
      </c>
      <c r="BE55" s="106">
        <f t="shared" si="280"/>
        <v>0</v>
      </c>
      <c r="BF55" s="168">
        <v>0</v>
      </c>
      <c r="BG55" s="104">
        <v>0</v>
      </c>
      <c r="BH55" s="104">
        <v>0</v>
      </c>
      <c r="BI55" s="104">
        <v>0</v>
      </c>
      <c r="BJ55" s="104">
        <v>0</v>
      </c>
      <c r="BK55" s="104">
        <v>0</v>
      </c>
      <c r="BL55" s="104">
        <v>0</v>
      </c>
      <c r="BM55" s="104">
        <v>0</v>
      </c>
      <c r="BN55" s="104">
        <v>0</v>
      </c>
      <c r="BO55" s="104">
        <v>0</v>
      </c>
      <c r="BP55" s="104">
        <v>0</v>
      </c>
      <c r="BQ55" s="106">
        <v>0</v>
      </c>
      <c r="BR55" s="168">
        <f t="shared" si="281"/>
        <v>0</v>
      </c>
      <c r="BS55" s="104">
        <f t="shared" si="282"/>
        <v>0</v>
      </c>
      <c r="BT55" s="104">
        <f t="shared" si="283"/>
        <v>0</v>
      </c>
      <c r="BU55" s="104">
        <f t="shared" si="284"/>
        <v>0</v>
      </c>
      <c r="BV55" s="104">
        <f t="shared" si="285"/>
        <v>0</v>
      </c>
      <c r="BW55" s="104">
        <f t="shared" si="286"/>
        <v>0</v>
      </c>
      <c r="BX55" s="104">
        <f t="shared" si="287"/>
        <v>0</v>
      </c>
      <c r="BY55" s="104">
        <f t="shared" si="288"/>
        <v>0</v>
      </c>
      <c r="BZ55" s="104">
        <f t="shared" si="289"/>
        <v>0</v>
      </c>
      <c r="CA55" s="104">
        <f t="shared" si="290"/>
        <v>0</v>
      </c>
      <c r="CB55" s="104">
        <f t="shared" si="291"/>
        <v>1193.83</v>
      </c>
      <c r="CC55" s="106">
        <f t="shared" si="292"/>
        <v>0</v>
      </c>
      <c r="CD55" s="168">
        <v>0</v>
      </c>
      <c r="CE55" s="104">
        <v>0</v>
      </c>
      <c r="CF55" s="104">
        <v>0</v>
      </c>
      <c r="CG55" s="104">
        <v>0</v>
      </c>
      <c r="CH55" s="104">
        <v>0</v>
      </c>
      <c r="CI55" s="104">
        <v>0</v>
      </c>
      <c r="CJ55" s="104">
        <v>0</v>
      </c>
      <c r="CK55" s="104">
        <v>0</v>
      </c>
      <c r="CL55" s="104">
        <v>0</v>
      </c>
      <c r="CM55" s="104">
        <v>0</v>
      </c>
      <c r="CN55" s="104">
        <v>0</v>
      </c>
      <c r="CO55" s="106">
        <v>0</v>
      </c>
      <c r="CP55" s="104">
        <f t="shared" si="293"/>
        <v>0</v>
      </c>
      <c r="CQ55" s="104">
        <f t="shared" si="293"/>
        <v>0</v>
      </c>
      <c r="CR55" s="104">
        <f t="shared" si="293"/>
        <v>0</v>
      </c>
      <c r="CS55" s="104">
        <f t="shared" si="293"/>
        <v>0</v>
      </c>
      <c r="CT55" s="104">
        <f t="shared" si="293"/>
        <v>0</v>
      </c>
      <c r="CU55" s="104">
        <f t="shared" si="293"/>
        <v>0</v>
      </c>
      <c r="CV55" s="104">
        <f t="shared" si="293"/>
        <v>0</v>
      </c>
      <c r="CW55" s="104">
        <f t="shared" si="293"/>
        <v>0</v>
      </c>
      <c r="CX55" s="104">
        <f t="shared" si="293"/>
        <v>0</v>
      </c>
      <c r="CY55" s="104">
        <f t="shared" si="293"/>
        <v>0</v>
      </c>
      <c r="CZ55" s="104">
        <f t="shared" si="293"/>
        <v>0</v>
      </c>
      <c r="DA55" s="106">
        <f t="shared" si="293"/>
        <v>0</v>
      </c>
      <c r="DB55" s="168">
        <v>0</v>
      </c>
      <c r="DC55" s="104">
        <v>0</v>
      </c>
      <c r="DD55" s="104">
        <v>0</v>
      </c>
      <c r="DE55" s="104">
        <v>0</v>
      </c>
      <c r="DF55" s="104">
        <v>0</v>
      </c>
      <c r="DG55" s="104">
        <v>0</v>
      </c>
      <c r="DH55" s="104">
        <v>0</v>
      </c>
      <c r="DI55" s="104">
        <v>0</v>
      </c>
      <c r="DJ55" s="104">
        <v>0</v>
      </c>
      <c r="DK55" s="104">
        <v>2</v>
      </c>
      <c r="DL55" s="104">
        <v>0</v>
      </c>
      <c r="DM55" s="106"/>
      <c r="DN55" s="104">
        <f t="shared" si="296"/>
        <v>0</v>
      </c>
      <c r="DO55" s="104">
        <f t="shared" si="294"/>
        <v>0</v>
      </c>
      <c r="DP55" s="104">
        <f t="shared" si="294"/>
        <v>0</v>
      </c>
      <c r="DQ55" s="104">
        <f t="shared" si="294"/>
        <v>0</v>
      </c>
      <c r="DR55" s="104">
        <f t="shared" si="294"/>
        <v>0</v>
      </c>
      <c r="DS55" s="104">
        <f t="shared" si="294"/>
        <v>0</v>
      </c>
      <c r="DT55" s="104">
        <f t="shared" si="294"/>
        <v>0</v>
      </c>
      <c r="DU55" s="104">
        <f t="shared" si="294"/>
        <v>0</v>
      </c>
      <c r="DV55" s="104">
        <f t="shared" si="294"/>
        <v>0</v>
      </c>
      <c r="DW55" s="104">
        <f t="shared" si="294"/>
        <v>2</v>
      </c>
      <c r="DX55" s="104">
        <f t="shared" si="294"/>
        <v>0</v>
      </c>
      <c r="DY55" s="106">
        <f t="shared" si="294"/>
        <v>0</v>
      </c>
    </row>
    <row r="56" spans="1:129" x14ac:dyDescent="0.25">
      <c r="A56" s="188" t="s">
        <v>46</v>
      </c>
      <c r="B56" s="168">
        <v>0</v>
      </c>
      <c r="C56" s="104">
        <v>0</v>
      </c>
      <c r="D56" s="104">
        <v>0</v>
      </c>
      <c r="E56" s="104">
        <v>0</v>
      </c>
      <c r="F56" s="104">
        <v>0</v>
      </c>
      <c r="G56" s="104">
        <v>0</v>
      </c>
      <c r="H56" s="104">
        <v>0</v>
      </c>
      <c r="I56" s="104">
        <v>0</v>
      </c>
      <c r="J56" s="104">
        <v>0</v>
      </c>
      <c r="K56" s="104">
        <v>0</v>
      </c>
      <c r="L56" s="168">
        <v>0</v>
      </c>
      <c r="M56" s="104">
        <v>0</v>
      </c>
      <c r="N56" s="104">
        <v>0</v>
      </c>
      <c r="O56" s="104">
        <v>0</v>
      </c>
      <c r="P56" s="104">
        <v>0</v>
      </c>
      <c r="Q56" s="104">
        <v>0</v>
      </c>
      <c r="R56" s="104">
        <v>0</v>
      </c>
      <c r="S56" s="104">
        <v>0</v>
      </c>
      <c r="T56" s="104">
        <v>0</v>
      </c>
      <c r="U56" s="104">
        <v>0</v>
      </c>
      <c r="V56" s="104">
        <v>0</v>
      </c>
      <c r="W56" s="104">
        <v>0</v>
      </c>
      <c r="X56" s="168">
        <f t="shared" si="279"/>
        <v>0</v>
      </c>
      <c r="Y56" s="104">
        <f t="shared" si="279"/>
        <v>0</v>
      </c>
      <c r="Z56" s="104">
        <f t="shared" si="279"/>
        <v>0</v>
      </c>
      <c r="AA56" s="104">
        <f t="shared" si="279"/>
        <v>0</v>
      </c>
      <c r="AB56" s="104">
        <f t="shared" si="279"/>
        <v>0</v>
      </c>
      <c r="AC56" s="104">
        <f t="shared" si="279"/>
        <v>0</v>
      </c>
      <c r="AD56" s="104">
        <f t="shared" si="279"/>
        <v>0</v>
      </c>
      <c r="AE56" s="104">
        <f t="shared" si="279"/>
        <v>0</v>
      </c>
      <c r="AF56" s="104">
        <f t="shared" si="279"/>
        <v>0</v>
      </c>
      <c r="AG56" s="106">
        <f t="shared" si="279"/>
        <v>0</v>
      </c>
      <c r="AH56" s="168">
        <v>0</v>
      </c>
      <c r="AI56" s="104">
        <v>0</v>
      </c>
      <c r="AJ56" s="104">
        <v>0</v>
      </c>
      <c r="AK56" s="104">
        <v>0</v>
      </c>
      <c r="AL56" s="104">
        <v>0</v>
      </c>
      <c r="AM56" s="104">
        <v>0</v>
      </c>
      <c r="AN56" s="104">
        <v>0</v>
      </c>
      <c r="AO56" s="104">
        <v>0</v>
      </c>
      <c r="AP56" s="104">
        <v>0</v>
      </c>
      <c r="AQ56" s="104">
        <v>0</v>
      </c>
      <c r="AR56" s="104">
        <v>0</v>
      </c>
      <c r="AS56" s="106">
        <v>0</v>
      </c>
      <c r="AT56" s="168">
        <f t="shared" si="295"/>
        <v>0</v>
      </c>
      <c r="AU56" s="104">
        <f t="shared" si="280"/>
        <v>0</v>
      </c>
      <c r="AV56" s="104">
        <f t="shared" si="280"/>
        <v>0</v>
      </c>
      <c r="AW56" s="104">
        <f t="shared" si="280"/>
        <v>0</v>
      </c>
      <c r="AX56" s="104">
        <f t="shared" si="280"/>
        <v>0</v>
      </c>
      <c r="AY56" s="104">
        <f t="shared" si="280"/>
        <v>0</v>
      </c>
      <c r="AZ56" s="104">
        <f t="shared" si="280"/>
        <v>0</v>
      </c>
      <c r="BA56" s="104">
        <f t="shared" si="280"/>
        <v>0</v>
      </c>
      <c r="BB56" s="104">
        <f t="shared" si="280"/>
        <v>0</v>
      </c>
      <c r="BC56" s="104">
        <f t="shared" si="280"/>
        <v>0</v>
      </c>
      <c r="BD56" s="104">
        <f t="shared" si="280"/>
        <v>0</v>
      </c>
      <c r="BE56" s="106">
        <f t="shared" si="280"/>
        <v>0</v>
      </c>
      <c r="BF56" s="168">
        <v>0</v>
      </c>
      <c r="BG56" s="104">
        <v>0</v>
      </c>
      <c r="BH56" s="104">
        <v>0</v>
      </c>
      <c r="BI56" s="104">
        <v>0</v>
      </c>
      <c r="BJ56" s="104">
        <v>0</v>
      </c>
      <c r="BK56" s="104">
        <v>0</v>
      </c>
      <c r="BL56" s="104">
        <v>0</v>
      </c>
      <c r="BM56" s="104">
        <v>0</v>
      </c>
      <c r="BN56" s="104">
        <v>0</v>
      </c>
      <c r="BO56" s="104">
        <v>0</v>
      </c>
      <c r="BP56" s="104">
        <v>0</v>
      </c>
      <c r="BQ56" s="106">
        <v>0</v>
      </c>
      <c r="BR56" s="168">
        <f t="shared" si="281"/>
        <v>0</v>
      </c>
      <c r="BS56" s="104">
        <f t="shared" si="282"/>
        <v>0</v>
      </c>
      <c r="BT56" s="104">
        <f t="shared" si="283"/>
        <v>0</v>
      </c>
      <c r="BU56" s="104">
        <f t="shared" si="284"/>
        <v>0</v>
      </c>
      <c r="BV56" s="104">
        <f t="shared" si="285"/>
        <v>0</v>
      </c>
      <c r="BW56" s="104">
        <f t="shared" si="286"/>
        <v>0</v>
      </c>
      <c r="BX56" s="104">
        <f t="shared" si="287"/>
        <v>0</v>
      </c>
      <c r="BY56" s="104">
        <f t="shared" si="288"/>
        <v>0</v>
      </c>
      <c r="BZ56" s="104">
        <f t="shared" si="289"/>
        <v>0</v>
      </c>
      <c r="CA56" s="104">
        <f t="shared" si="290"/>
        <v>0</v>
      </c>
      <c r="CB56" s="104">
        <f t="shared" si="291"/>
        <v>0</v>
      </c>
      <c r="CC56" s="106">
        <f t="shared" si="292"/>
        <v>0</v>
      </c>
      <c r="CD56" s="168">
        <v>0</v>
      </c>
      <c r="CE56" s="104">
        <v>0</v>
      </c>
      <c r="CF56" s="104">
        <v>0</v>
      </c>
      <c r="CG56" s="104">
        <v>0</v>
      </c>
      <c r="CH56" s="104">
        <v>0</v>
      </c>
      <c r="CI56" s="104">
        <v>0</v>
      </c>
      <c r="CJ56" s="104">
        <v>0</v>
      </c>
      <c r="CK56" s="104">
        <v>0</v>
      </c>
      <c r="CL56" s="104">
        <v>0</v>
      </c>
      <c r="CM56" s="104">
        <v>0</v>
      </c>
      <c r="CN56" s="104">
        <v>0</v>
      </c>
      <c r="CO56" s="106">
        <v>0</v>
      </c>
      <c r="CP56" s="168">
        <f t="shared" si="293"/>
        <v>0</v>
      </c>
      <c r="CQ56" s="104">
        <f t="shared" si="293"/>
        <v>0</v>
      </c>
      <c r="CR56" s="104">
        <f t="shared" si="293"/>
        <v>0</v>
      </c>
      <c r="CS56" s="104">
        <f t="shared" si="293"/>
        <v>0</v>
      </c>
      <c r="CT56" s="104">
        <f t="shared" si="293"/>
        <v>0</v>
      </c>
      <c r="CU56" s="104">
        <f t="shared" si="293"/>
        <v>0</v>
      </c>
      <c r="CV56" s="104">
        <f t="shared" si="293"/>
        <v>0</v>
      </c>
      <c r="CW56" s="104">
        <f t="shared" si="293"/>
        <v>0</v>
      </c>
      <c r="CX56" s="104">
        <f t="shared" si="293"/>
        <v>0</v>
      </c>
      <c r="CY56" s="104">
        <f t="shared" si="293"/>
        <v>0</v>
      </c>
      <c r="CZ56" s="104">
        <f t="shared" si="293"/>
        <v>0</v>
      </c>
      <c r="DA56" s="106">
        <f t="shared" si="293"/>
        <v>0</v>
      </c>
      <c r="DB56" s="168">
        <v>0</v>
      </c>
      <c r="DC56" s="104">
        <v>0</v>
      </c>
      <c r="DD56" s="104">
        <v>0</v>
      </c>
      <c r="DE56" s="104">
        <v>0</v>
      </c>
      <c r="DF56" s="104">
        <v>0</v>
      </c>
      <c r="DG56" s="104">
        <v>0</v>
      </c>
      <c r="DH56" s="104">
        <v>0</v>
      </c>
      <c r="DI56" s="104">
        <v>0</v>
      </c>
      <c r="DJ56" s="104">
        <v>0</v>
      </c>
      <c r="DK56" s="104">
        <v>0</v>
      </c>
      <c r="DL56" s="104">
        <v>0</v>
      </c>
      <c r="DM56" s="106"/>
      <c r="DN56" s="104">
        <f t="shared" si="296"/>
        <v>0</v>
      </c>
      <c r="DO56" s="104">
        <f t="shared" si="294"/>
        <v>0</v>
      </c>
      <c r="DP56" s="104">
        <f t="shared" si="294"/>
        <v>0</v>
      </c>
      <c r="DQ56" s="104">
        <f t="shared" si="294"/>
        <v>0</v>
      </c>
      <c r="DR56" s="104">
        <f t="shared" si="294"/>
        <v>0</v>
      </c>
      <c r="DS56" s="104">
        <f t="shared" si="294"/>
        <v>0</v>
      </c>
      <c r="DT56" s="104">
        <f t="shared" si="294"/>
        <v>0</v>
      </c>
      <c r="DU56" s="104">
        <f t="shared" si="294"/>
        <v>0</v>
      </c>
      <c r="DV56" s="104">
        <f t="shared" si="294"/>
        <v>0</v>
      </c>
      <c r="DW56" s="104">
        <f t="shared" si="294"/>
        <v>0</v>
      </c>
      <c r="DX56" s="104">
        <f t="shared" si="294"/>
        <v>0</v>
      </c>
      <c r="DY56" s="106">
        <f t="shared" si="294"/>
        <v>0</v>
      </c>
    </row>
    <row r="57" spans="1:129" x14ac:dyDescent="0.25">
      <c r="A57" s="188" t="s">
        <v>39</v>
      </c>
      <c r="B57" s="168">
        <f>SUM(B52:B56)</f>
        <v>5054.8900000000003</v>
      </c>
      <c r="C57" s="104">
        <f t="shared" ref="C57:K57" si="297">SUM(C52:C56)</f>
        <v>51940.149999999994</v>
      </c>
      <c r="D57" s="104">
        <f t="shared" si="297"/>
        <v>36895.270000000004</v>
      </c>
      <c r="E57" s="104">
        <f t="shared" si="297"/>
        <v>19878.929999999997</v>
      </c>
      <c r="F57" s="104">
        <f t="shared" si="297"/>
        <v>3364.7099999999996</v>
      </c>
      <c r="G57" s="104">
        <f t="shared" si="297"/>
        <v>1327.83</v>
      </c>
      <c r="H57" s="104">
        <f t="shared" si="297"/>
        <v>-1138.8900000000001</v>
      </c>
      <c r="I57" s="104">
        <f t="shared" si="297"/>
        <v>-5198.18</v>
      </c>
      <c r="J57" s="104">
        <f t="shared" si="297"/>
        <v>-6.1900000000000093</v>
      </c>
      <c r="K57" s="104">
        <f t="shared" si="297"/>
        <v>3136.99</v>
      </c>
      <c r="L57" s="168">
        <f>SUM(L52:L56)</f>
        <v>5818.94</v>
      </c>
      <c r="M57" s="104">
        <f t="shared" ref="M57:W57" si="298">SUM(M52:M56)</f>
        <v>-930.24</v>
      </c>
      <c r="N57" s="104">
        <f t="shared" si="298"/>
        <v>-3419.56</v>
      </c>
      <c r="O57" s="104">
        <f t="shared" si="298"/>
        <v>40900.61</v>
      </c>
      <c r="P57" s="104">
        <f t="shared" si="298"/>
        <v>29651.949999999997</v>
      </c>
      <c r="Q57" s="104">
        <f t="shared" si="298"/>
        <v>24914.25</v>
      </c>
      <c r="R57" s="104">
        <f t="shared" si="298"/>
        <v>8692.4399999999987</v>
      </c>
      <c r="S57" s="104">
        <f t="shared" si="298"/>
        <v>2249.25</v>
      </c>
      <c r="T57" s="104">
        <f t="shared" si="298"/>
        <v>850.97</v>
      </c>
      <c r="U57" s="104">
        <f t="shared" si="298"/>
        <v>-2185.7399999999998</v>
      </c>
      <c r="V57" s="104">
        <f t="shared" si="298"/>
        <v>1761.56</v>
      </c>
      <c r="W57" s="104">
        <f t="shared" si="298"/>
        <v>5459.11</v>
      </c>
      <c r="X57" s="168">
        <f t="shared" ref="X57:AG57" si="299">SUM(X52:X56)</f>
        <v>8474.4499999999989</v>
      </c>
      <c r="Y57" s="104">
        <f t="shared" si="299"/>
        <v>11039.54</v>
      </c>
      <c r="Z57" s="104">
        <f t="shared" si="299"/>
        <v>7243.3200000000015</v>
      </c>
      <c r="AA57" s="104">
        <f t="shared" si="299"/>
        <v>-5035.3200000000015</v>
      </c>
      <c r="AB57" s="104">
        <f t="shared" si="299"/>
        <v>-5327.7300000000005</v>
      </c>
      <c r="AC57" s="104">
        <f t="shared" si="299"/>
        <v>-921.42000000000007</v>
      </c>
      <c r="AD57" s="104">
        <f t="shared" si="299"/>
        <v>-1989.8600000000001</v>
      </c>
      <c r="AE57" s="104">
        <f t="shared" si="299"/>
        <v>-3012.44</v>
      </c>
      <c r="AF57" s="104">
        <f t="shared" si="299"/>
        <v>-1767.75</v>
      </c>
      <c r="AG57" s="106">
        <f t="shared" si="299"/>
        <v>-2322.1199999999994</v>
      </c>
      <c r="AH57" s="168">
        <f t="shared" ref="AH57:AO57" si="300">SUM(AH52:AH56)</f>
        <v>13329.429999999998</v>
      </c>
      <c r="AI57" s="104">
        <f t="shared" si="300"/>
        <v>10410.34</v>
      </c>
      <c r="AJ57" s="104">
        <f t="shared" si="300"/>
        <v>19367.169999999998</v>
      </c>
      <c r="AK57" s="104">
        <f t="shared" si="300"/>
        <v>52804.88</v>
      </c>
      <c r="AL57" s="104">
        <f t="shared" si="300"/>
        <v>22514.959999999999</v>
      </c>
      <c r="AM57" s="104">
        <f t="shared" si="300"/>
        <v>29162.3</v>
      </c>
      <c r="AN57" s="104">
        <f t="shared" si="300"/>
        <v>3234.4700000000003</v>
      </c>
      <c r="AO57" s="104">
        <f t="shared" si="300"/>
        <v>259.40000000000003</v>
      </c>
      <c r="AP57" s="104">
        <f>SUM(AP52:AP54)</f>
        <v>248.14999999999986</v>
      </c>
      <c r="AQ57" s="104">
        <f>SUM(AQ52:AQ54)</f>
        <v>-4523.1699999999992</v>
      </c>
      <c r="AR57" s="104">
        <v>1986.99</v>
      </c>
      <c r="AS57" s="106">
        <f>SUM(AS52:AS56)</f>
        <v>3304.92</v>
      </c>
      <c r="AT57" s="168">
        <f t="shared" ref="AT57:BE57" si="301">SUM(AT52:AT56)</f>
        <v>-7510.49</v>
      </c>
      <c r="AU57" s="104">
        <f t="shared" si="301"/>
        <v>-11340.58</v>
      </c>
      <c r="AV57" s="104">
        <f t="shared" si="301"/>
        <v>-22786.73</v>
      </c>
      <c r="AW57" s="104">
        <f t="shared" si="301"/>
        <v>-11904.269999999997</v>
      </c>
      <c r="AX57" s="104">
        <f t="shared" si="301"/>
        <v>7136.9900000000007</v>
      </c>
      <c r="AY57" s="104">
        <f t="shared" si="301"/>
        <v>-4248.0499999999975</v>
      </c>
      <c r="AZ57" s="104">
        <f t="shared" si="301"/>
        <v>5457.9699999999993</v>
      </c>
      <c r="BA57" s="104">
        <f t="shared" si="301"/>
        <v>1989.85</v>
      </c>
      <c r="BB57" s="104">
        <f t="shared" si="301"/>
        <v>602.82000000000016</v>
      </c>
      <c r="BC57" s="104">
        <f t="shared" si="301"/>
        <v>2337.4299999999998</v>
      </c>
      <c r="BD57" s="104">
        <f t="shared" si="301"/>
        <v>7316.380000000001</v>
      </c>
      <c r="BE57" s="106">
        <f t="shared" si="301"/>
        <v>2154.1899999999996</v>
      </c>
      <c r="BF57" s="168">
        <f>SUM(BF52:BF56)</f>
        <v>13197.000000000002</v>
      </c>
      <c r="BG57" s="104">
        <f>SUM(BG52:BG56)</f>
        <v>2291.69</v>
      </c>
      <c r="BH57" s="104">
        <f>SUM(BH52:BH56)</f>
        <v>6606.32</v>
      </c>
      <c r="BI57" s="104">
        <f>SUM(BI52:BI56)</f>
        <v>89288.260000000009</v>
      </c>
      <c r="BJ57" s="104">
        <v>74904.87</v>
      </c>
      <c r="BK57" s="104">
        <f>SUM(BK52:BK54)</f>
        <v>34936.474000000002</v>
      </c>
      <c r="BL57" s="104">
        <v>-2741.78</v>
      </c>
      <c r="BM57" s="104">
        <v>982.77</v>
      </c>
      <c r="BN57" s="104">
        <v>3246.14</v>
      </c>
      <c r="BO57" s="104">
        <v>-13259.98</v>
      </c>
      <c r="BP57" s="104">
        <v>528.54999999999995</v>
      </c>
      <c r="BQ57" s="106">
        <v>6307.32</v>
      </c>
      <c r="BR57" s="168">
        <f t="shared" ref="BR57:CC57" si="302">SUM(BR52:BR56)</f>
        <v>132.42999999999904</v>
      </c>
      <c r="BS57" s="104">
        <f t="shared" si="302"/>
        <v>8118.65</v>
      </c>
      <c r="BT57" s="104">
        <f t="shared" si="302"/>
        <v>12760.85</v>
      </c>
      <c r="BU57" s="104">
        <f t="shared" si="302"/>
        <v>-36483.379999999997</v>
      </c>
      <c r="BV57" s="104">
        <f t="shared" si="302"/>
        <v>-52389.91</v>
      </c>
      <c r="BW57" s="104">
        <f t="shared" si="302"/>
        <v>-5774.1740000000045</v>
      </c>
      <c r="BX57" s="104">
        <f t="shared" si="302"/>
        <v>5976.2499999999991</v>
      </c>
      <c r="BY57" s="104">
        <f t="shared" si="302"/>
        <v>-723.3699999999991</v>
      </c>
      <c r="BZ57" s="104">
        <f t="shared" si="302"/>
        <v>-2997.99</v>
      </c>
      <c r="CA57" s="104">
        <f t="shared" si="302"/>
        <v>8736.8100000000013</v>
      </c>
      <c r="CB57" s="104">
        <f t="shared" si="302"/>
        <v>-6083.3700000000008</v>
      </c>
      <c r="CC57" s="106">
        <f t="shared" si="302"/>
        <v>-3002.4</v>
      </c>
      <c r="CD57" s="168">
        <f>SUM(CD52:CD56)</f>
        <v>14771.86</v>
      </c>
      <c r="CE57" s="104">
        <f t="shared" ref="CE57:CI57" si="303">SUM(CE52:CE54)</f>
        <v>4125.5600000000004</v>
      </c>
      <c r="CF57" s="104">
        <f t="shared" si="303"/>
        <v>21151.59</v>
      </c>
      <c r="CG57" s="104">
        <f t="shared" si="303"/>
        <v>88677.659999999989</v>
      </c>
      <c r="CH57" s="104">
        <f t="shared" si="303"/>
        <v>51852</v>
      </c>
      <c r="CI57" s="104">
        <f t="shared" si="303"/>
        <v>18257.560000000001</v>
      </c>
      <c r="CJ57" s="104">
        <v>7139</v>
      </c>
      <c r="CK57" s="104">
        <v>1565.11</v>
      </c>
      <c r="CL57" s="104">
        <v>1468.54</v>
      </c>
      <c r="CM57" s="104">
        <v>0</v>
      </c>
      <c r="CN57" s="104">
        <v>0</v>
      </c>
      <c r="CO57" s="106">
        <v>51412.21</v>
      </c>
      <c r="CP57" s="104">
        <f t="shared" si="293"/>
        <v>1574.8599999999988</v>
      </c>
      <c r="CQ57" s="104">
        <f t="shared" si="293"/>
        <v>1833.8700000000003</v>
      </c>
      <c r="CR57" s="104">
        <f t="shared" si="293"/>
        <v>14545.27</v>
      </c>
      <c r="CS57" s="104">
        <f t="shared" si="293"/>
        <v>-610.60000000002037</v>
      </c>
      <c r="CT57" s="104">
        <f t="shared" si="293"/>
        <v>-23052.869999999995</v>
      </c>
      <c r="CU57" s="104">
        <f t="shared" si="293"/>
        <v>-16678.914000000001</v>
      </c>
      <c r="CV57" s="104">
        <f t="shared" si="293"/>
        <v>9880.7800000000007</v>
      </c>
      <c r="CW57" s="104">
        <f t="shared" si="293"/>
        <v>582.33999999999992</v>
      </c>
      <c r="CX57" s="104">
        <f t="shared" si="293"/>
        <v>-1777.6</v>
      </c>
      <c r="CY57" s="104">
        <f t="shared" si="293"/>
        <v>13259.98</v>
      </c>
      <c r="CZ57" s="104">
        <f t="shared" si="293"/>
        <v>-528.54999999999995</v>
      </c>
      <c r="DA57" s="106">
        <f t="shared" si="293"/>
        <v>45104.89</v>
      </c>
      <c r="DB57" s="168">
        <v>180</v>
      </c>
      <c r="DC57" s="104">
        <f>SUM(DC52:DC56)</f>
        <v>9704.36</v>
      </c>
      <c r="DD57" s="104">
        <f>SUM(DD52:DD56)</f>
        <v>51995.11</v>
      </c>
      <c r="DE57" s="104">
        <f>SUM(DE52:DE56)</f>
        <v>26194.300000000003</v>
      </c>
      <c r="DF57" s="104">
        <f t="shared" ref="DF57:DM57" si="304">SUM(DF52:DF54)</f>
        <v>21493.05</v>
      </c>
      <c r="DG57" s="104">
        <v>10448.9</v>
      </c>
      <c r="DH57" s="104">
        <f t="shared" si="304"/>
        <v>14660.589999999998</v>
      </c>
      <c r="DI57" s="104">
        <f t="shared" si="304"/>
        <v>8458.0300000000007</v>
      </c>
      <c r="DJ57" s="104">
        <f>SUM(DJ52:DJ56)</f>
        <v>7950.8599999999988</v>
      </c>
      <c r="DK57" s="104">
        <f t="shared" si="304"/>
        <v>4201.46</v>
      </c>
      <c r="DL57" s="104">
        <f t="shared" si="304"/>
        <v>3827.7200000000003</v>
      </c>
      <c r="DM57" s="106">
        <f t="shared" si="304"/>
        <v>0</v>
      </c>
      <c r="DN57" s="104">
        <f>SUM(DN52:DN56)</f>
        <v>-14591.86</v>
      </c>
      <c r="DO57" s="104">
        <f t="shared" ref="DO57:DY57" si="305">SUM(DO52:DO56)</f>
        <v>5578.7999999999993</v>
      </c>
      <c r="DP57" s="104">
        <f t="shared" si="305"/>
        <v>30843.52</v>
      </c>
      <c r="DQ57" s="104">
        <f t="shared" si="305"/>
        <v>-62483.359999999993</v>
      </c>
      <c r="DR57" s="104">
        <f t="shared" si="305"/>
        <v>-30358.950000000004</v>
      </c>
      <c r="DS57" s="104">
        <f t="shared" si="305"/>
        <v>-7808.6600000000017</v>
      </c>
      <c r="DT57" s="104">
        <f t="shared" si="305"/>
        <v>7521.5899999999983</v>
      </c>
      <c r="DU57" s="104">
        <f t="shared" si="305"/>
        <v>6892.92</v>
      </c>
      <c r="DV57" s="104">
        <f t="shared" si="305"/>
        <v>6482.32</v>
      </c>
      <c r="DW57" s="104">
        <f t="shared" si="305"/>
        <v>4203.46</v>
      </c>
      <c r="DX57" s="104">
        <f t="shared" si="305"/>
        <v>3827.7200000000003</v>
      </c>
      <c r="DY57" s="106">
        <f t="shared" si="305"/>
        <v>-51412.21</v>
      </c>
    </row>
    <row r="58" spans="1:129" x14ac:dyDescent="0.25">
      <c r="A58" s="189" t="s">
        <v>29</v>
      </c>
      <c r="B58" s="168"/>
      <c r="C58" s="104"/>
      <c r="D58" s="104"/>
      <c r="E58" s="104"/>
      <c r="F58" s="104"/>
      <c r="G58" s="104"/>
      <c r="H58" s="104"/>
      <c r="I58" s="104"/>
      <c r="J58" s="104"/>
      <c r="K58" s="104"/>
      <c r="L58" s="168"/>
      <c r="M58" s="104"/>
      <c r="N58" s="104"/>
      <c r="O58" s="104"/>
      <c r="P58" s="104"/>
      <c r="Q58" s="104"/>
      <c r="R58" s="104"/>
      <c r="S58" s="104"/>
      <c r="T58" s="104"/>
      <c r="U58" s="104"/>
      <c r="V58" s="104"/>
      <c r="W58" s="104"/>
      <c r="X58" s="168"/>
      <c r="Y58" s="104"/>
      <c r="Z58" s="104"/>
      <c r="AA58" s="104"/>
      <c r="AB58" s="104"/>
      <c r="AC58" s="104"/>
      <c r="AD58" s="104"/>
      <c r="AE58" s="104"/>
      <c r="AF58" s="104"/>
      <c r="AG58" s="106"/>
      <c r="AH58" s="168"/>
      <c r="AI58" s="104"/>
      <c r="AJ58" s="104"/>
      <c r="AK58" s="104"/>
      <c r="AL58" s="104"/>
      <c r="AM58" s="104"/>
      <c r="AN58" s="104"/>
      <c r="AO58" s="104"/>
      <c r="AP58" s="104"/>
      <c r="AQ58" s="104"/>
      <c r="AR58" s="104"/>
      <c r="AS58" s="106"/>
      <c r="AT58" s="168"/>
      <c r="AU58" s="104"/>
      <c r="AV58" s="104"/>
      <c r="AW58" s="104"/>
      <c r="AX58" s="104"/>
      <c r="AY58" s="104"/>
      <c r="AZ58" s="104"/>
      <c r="BA58" s="104"/>
      <c r="BB58" s="104"/>
      <c r="BC58" s="104"/>
      <c r="BD58" s="104"/>
      <c r="BE58" s="106"/>
      <c r="BF58" s="168"/>
      <c r="BG58" s="104"/>
      <c r="BH58" s="104"/>
      <c r="BI58" s="104"/>
      <c r="BJ58" s="104"/>
      <c r="BK58" s="104"/>
      <c r="BL58" s="104"/>
      <c r="BM58" s="104"/>
      <c r="BN58" s="104"/>
      <c r="BO58" s="104"/>
      <c r="BP58" s="104"/>
      <c r="BQ58" s="106"/>
      <c r="BR58" s="168"/>
      <c r="BS58" s="104"/>
      <c r="BT58" s="104"/>
      <c r="BU58" s="104"/>
      <c r="BV58" s="104"/>
      <c r="BW58" s="104"/>
      <c r="BX58" s="104"/>
      <c r="BY58" s="104"/>
      <c r="BZ58" s="104"/>
      <c r="CA58" s="104"/>
      <c r="CB58" s="104"/>
      <c r="CC58" s="106"/>
      <c r="CD58" s="168"/>
      <c r="CE58" s="104"/>
      <c r="CF58" s="104"/>
      <c r="CG58" s="104"/>
      <c r="CH58" s="104"/>
      <c r="CI58" s="104"/>
      <c r="CJ58" s="104"/>
      <c r="CK58" s="104"/>
      <c r="CL58" s="104"/>
      <c r="CM58" s="104"/>
      <c r="CN58" s="104"/>
      <c r="CO58" s="106"/>
      <c r="CP58" s="104"/>
      <c r="CQ58" s="104"/>
      <c r="CR58" s="104"/>
      <c r="CS58" s="104"/>
      <c r="CT58" s="104"/>
      <c r="CU58" s="104"/>
      <c r="CV58" s="104"/>
      <c r="CW58" s="104"/>
      <c r="CX58" s="104"/>
      <c r="CY58" s="104"/>
      <c r="CZ58" s="104"/>
      <c r="DA58" s="106"/>
      <c r="DB58" s="168"/>
      <c r="DC58" s="104"/>
      <c r="DD58" s="104"/>
      <c r="DE58" s="104"/>
      <c r="DF58" s="104"/>
      <c r="DG58" s="104"/>
      <c r="DH58" s="104"/>
      <c r="DI58" s="104"/>
      <c r="DJ58" s="104"/>
      <c r="DK58" s="104"/>
      <c r="DL58" s="104"/>
      <c r="DM58" s="106"/>
      <c r="DN58" s="104"/>
      <c r="DO58" s="104"/>
      <c r="DP58" s="104"/>
      <c r="DQ58" s="104"/>
      <c r="DR58" s="104"/>
      <c r="DS58" s="104"/>
      <c r="DT58" s="104"/>
      <c r="DU58" s="104"/>
      <c r="DV58" s="104"/>
      <c r="DW58" s="104"/>
      <c r="DX58" s="104"/>
      <c r="DY58" s="106"/>
    </row>
    <row r="59" spans="1:129" x14ac:dyDescent="0.25">
      <c r="A59" s="188" t="s">
        <v>34</v>
      </c>
      <c r="B59" s="168">
        <v>1838.54</v>
      </c>
      <c r="C59" s="104">
        <v>4177.67</v>
      </c>
      <c r="D59" s="104">
        <v>17726.87</v>
      </c>
      <c r="E59" s="104">
        <v>21104.94</v>
      </c>
      <c r="F59" s="104">
        <v>17098.509999999998</v>
      </c>
      <c r="G59" s="104">
        <v>10611.67</v>
      </c>
      <c r="H59" s="104">
        <v>8709.65</v>
      </c>
      <c r="I59" s="104">
        <v>4615.5200000000004</v>
      </c>
      <c r="J59" s="104">
        <v>5330.94</v>
      </c>
      <c r="K59" s="104">
        <v>-3201.42</v>
      </c>
      <c r="L59" s="168">
        <v>-1645.21</v>
      </c>
      <c r="M59" s="104">
        <v>75.38</v>
      </c>
      <c r="N59" s="104">
        <v>2116.38</v>
      </c>
      <c r="O59" s="104">
        <v>1241.0999999999999</v>
      </c>
      <c r="P59" s="104">
        <v>25391.07</v>
      </c>
      <c r="Q59" s="104">
        <v>35799.24</v>
      </c>
      <c r="R59" s="104">
        <v>40488.660000000003</v>
      </c>
      <c r="S59" s="104">
        <v>38195.040000000001</v>
      </c>
      <c r="T59" s="104">
        <v>25887.97</v>
      </c>
      <c r="U59" s="104">
        <v>19602.099999999999</v>
      </c>
      <c r="V59" s="104">
        <v>20678.939999999999</v>
      </c>
      <c r="W59" s="104">
        <v>26065.84</v>
      </c>
      <c r="X59" s="168">
        <f t="shared" ref="X59:AG63" si="306">B59-N59</f>
        <v>-277.84000000000015</v>
      </c>
      <c r="Y59" s="104">
        <f t="shared" si="306"/>
        <v>2936.57</v>
      </c>
      <c r="Z59" s="104">
        <f t="shared" si="306"/>
        <v>-7664.2000000000007</v>
      </c>
      <c r="AA59" s="104">
        <f t="shared" si="306"/>
        <v>-14694.3</v>
      </c>
      <c r="AB59" s="104">
        <f t="shared" si="306"/>
        <v>-23390.150000000005</v>
      </c>
      <c r="AC59" s="104">
        <f t="shared" si="306"/>
        <v>-27583.370000000003</v>
      </c>
      <c r="AD59" s="104">
        <f t="shared" si="306"/>
        <v>-17178.32</v>
      </c>
      <c r="AE59" s="104">
        <f t="shared" si="306"/>
        <v>-14986.579999999998</v>
      </c>
      <c r="AF59" s="104">
        <f t="shared" si="306"/>
        <v>-15348</v>
      </c>
      <c r="AG59" s="106">
        <f t="shared" si="306"/>
        <v>-29267.260000000002</v>
      </c>
      <c r="AH59" s="168">
        <v>28125.53</v>
      </c>
      <c r="AI59" s="104">
        <v>24611.21</v>
      </c>
      <c r="AJ59" s="104">
        <v>29891.9</v>
      </c>
      <c r="AK59" s="104">
        <v>9054.43</v>
      </c>
      <c r="AL59" s="104">
        <v>18287.3</v>
      </c>
      <c r="AM59" s="104">
        <v>44143.73</v>
      </c>
      <c r="AN59" s="104">
        <v>29779.21</v>
      </c>
      <c r="AO59" s="104">
        <v>25689.11</v>
      </c>
      <c r="AP59" s="104">
        <v>7045.5</v>
      </c>
      <c r="AQ59" s="104">
        <v>2020.63</v>
      </c>
      <c r="AR59" s="104">
        <v>6042.56</v>
      </c>
      <c r="AS59" s="106">
        <v>1949.75</v>
      </c>
      <c r="AT59" s="168">
        <f>L59-AH59</f>
        <v>-29770.739999999998</v>
      </c>
      <c r="AU59" s="104">
        <f t="shared" ref="AU59:BE63" si="307">M59-AI59</f>
        <v>-24535.829999999998</v>
      </c>
      <c r="AV59" s="104">
        <f t="shared" si="307"/>
        <v>-27775.52</v>
      </c>
      <c r="AW59" s="104">
        <f t="shared" si="307"/>
        <v>-7813.33</v>
      </c>
      <c r="AX59" s="104">
        <f t="shared" si="307"/>
        <v>7103.77</v>
      </c>
      <c r="AY59" s="104">
        <f t="shared" si="307"/>
        <v>-8344.4900000000052</v>
      </c>
      <c r="AZ59" s="104">
        <f t="shared" si="307"/>
        <v>10709.450000000004</v>
      </c>
      <c r="BA59" s="104">
        <f t="shared" si="307"/>
        <v>12505.93</v>
      </c>
      <c r="BB59" s="104">
        <f t="shared" si="307"/>
        <v>18842.47</v>
      </c>
      <c r="BC59" s="104">
        <f t="shared" si="307"/>
        <v>17581.469999999998</v>
      </c>
      <c r="BD59" s="104">
        <f t="shared" si="307"/>
        <v>14636.379999999997</v>
      </c>
      <c r="BE59" s="106">
        <f t="shared" si="307"/>
        <v>24116.09</v>
      </c>
      <c r="BF59" s="168">
        <v>1209.1099999999999</v>
      </c>
      <c r="BG59" s="104">
        <v>-435.05</v>
      </c>
      <c r="BH59" s="104">
        <v>348.84</v>
      </c>
      <c r="BI59" s="104">
        <v>-252.97</v>
      </c>
      <c r="BJ59" s="104">
        <v>29377.279999999999</v>
      </c>
      <c r="BK59" s="104">
        <v>32927.949999999997</v>
      </c>
      <c r="BL59" s="104">
        <v>24915.03</v>
      </c>
      <c r="BM59" s="104">
        <v>14023.41</v>
      </c>
      <c r="BN59" s="104">
        <v>3844.81</v>
      </c>
      <c r="BO59" s="104">
        <v>-615.04999999999995</v>
      </c>
      <c r="BP59" s="104">
        <v>-6276.32</v>
      </c>
      <c r="BQ59" s="106">
        <v>-1318.37</v>
      </c>
      <c r="BR59" s="168">
        <f t="shared" ref="BR59:BR63" si="308">AH59-BF59</f>
        <v>26916.42</v>
      </c>
      <c r="BS59" s="104">
        <f t="shared" ref="BS59:BS63" si="309">AI59-BG59</f>
        <v>25046.26</v>
      </c>
      <c r="BT59" s="104">
        <f t="shared" ref="BT59:BT63" si="310">AJ59-BH59</f>
        <v>29543.06</v>
      </c>
      <c r="BU59" s="104">
        <f t="shared" ref="BU59:BU63" si="311">AK59-BI59</f>
        <v>9307.4</v>
      </c>
      <c r="BV59" s="104">
        <f t="shared" ref="BV59:BV63" si="312">AL59-BJ59</f>
        <v>-11089.98</v>
      </c>
      <c r="BW59" s="104">
        <f t="shared" ref="BW59:BW63" si="313">AM59-BK59</f>
        <v>11215.780000000006</v>
      </c>
      <c r="BX59" s="104">
        <f t="shared" ref="BX59:BX63" si="314">AN59-BL59</f>
        <v>4864.18</v>
      </c>
      <c r="BY59" s="104">
        <f t="shared" ref="BY59:BY63" si="315">AO59-BM59</f>
        <v>11665.7</v>
      </c>
      <c r="BZ59" s="104">
        <f t="shared" ref="BZ59:BZ63" si="316">AP59-BN59</f>
        <v>3200.69</v>
      </c>
      <c r="CA59" s="104">
        <f t="shared" ref="CA59:CA63" si="317">AQ59-BO59</f>
        <v>2635.6800000000003</v>
      </c>
      <c r="CB59" s="104">
        <f t="shared" ref="CB59:CB63" si="318">AR59-BP59</f>
        <v>12318.880000000001</v>
      </c>
      <c r="CC59" s="106">
        <f t="shared" ref="CC59:CC63" si="319">AS59-BQ59</f>
        <v>3268.12</v>
      </c>
      <c r="CD59" s="168">
        <v>-3347.06</v>
      </c>
      <c r="CE59" s="104">
        <v>-4274.3999999999996</v>
      </c>
      <c r="CF59" s="104">
        <v>-2401.15</v>
      </c>
      <c r="CG59" s="104">
        <v>8094.93</v>
      </c>
      <c r="CH59" s="104">
        <v>37694.339999999997</v>
      </c>
      <c r="CI59" s="104">
        <v>50769.72</v>
      </c>
      <c r="CJ59" s="104">
        <v>49525.120000000003</v>
      </c>
      <c r="CK59" s="104">
        <v>5560.66</v>
      </c>
      <c r="CL59" s="104">
        <v>18804.47</v>
      </c>
      <c r="CM59" s="104">
        <v>0</v>
      </c>
      <c r="CN59" s="104">
        <v>0</v>
      </c>
      <c r="CO59" s="106">
        <v>0</v>
      </c>
      <c r="CP59" s="104">
        <f t="shared" ref="CP59:DA64" si="320">CD59-BF59</f>
        <v>-4556.17</v>
      </c>
      <c r="CQ59" s="104">
        <f t="shared" si="320"/>
        <v>-3839.3499999999995</v>
      </c>
      <c r="CR59" s="104">
        <f t="shared" si="320"/>
        <v>-2749.9900000000002</v>
      </c>
      <c r="CS59" s="104">
        <f t="shared" si="320"/>
        <v>8347.9</v>
      </c>
      <c r="CT59" s="104">
        <f t="shared" si="320"/>
        <v>8317.0599999999977</v>
      </c>
      <c r="CU59" s="104">
        <f t="shared" si="320"/>
        <v>17841.770000000004</v>
      </c>
      <c r="CV59" s="104">
        <f t="shared" si="320"/>
        <v>24610.090000000004</v>
      </c>
      <c r="CW59" s="104">
        <f t="shared" si="320"/>
        <v>-8462.75</v>
      </c>
      <c r="CX59" s="104">
        <f t="shared" si="320"/>
        <v>14959.660000000002</v>
      </c>
      <c r="CY59" s="104">
        <f t="shared" si="320"/>
        <v>615.04999999999995</v>
      </c>
      <c r="CZ59" s="104">
        <f t="shared" si="320"/>
        <v>6276.32</v>
      </c>
      <c r="DA59" s="106">
        <f t="shared" si="320"/>
        <v>1318.37</v>
      </c>
      <c r="DB59" s="168">
        <f>1424.89+23157.91</f>
        <v>24582.799999999999</v>
      </c>
      <c r="DC59" s="104">
        <v>21192.49</v>
      </c>
      <c r="DD59" s="104">
        <v>22503.09</v>
      </c>
      <c r="DE59" s="104">
        <v>37800.239999999998</v>
      </c>
      <c r="DF59" s="104">
        <f>227.88+224.29+459.39+10368.77+12983.02+9925.19</f>
        <v>34188.54</v>
      </c>
      <c r="DG59" s="104">
        <v>22324.260000000002</v>
      </c>
      <c r="DH59" s="104">
        <v>17818.93</v>
      </c>
      <c r="DI59" s="104">
        <v>12266.43</v>
      </c>
      <c r="DJ59" s="104">
        <v>12157.59</v>
      </c>
      <c r="DK59" s="104">
        <v>10467.64</v>
      </c>
      <c r="DL59" s="104">
        <v>9468.0300000000007</v>
      </c>
      <c r="DM59" s="106"/>
      <c r="DN59" s="104">
        <f>DB59-CD59</f>
        <v>27929.86</v>
      </c>
      <c r="DO59" s="104">
        <f t="shared" ref="DO59:DY63" si="321">DC59-CE59</f>
        <v>25466.89</v>
      </c>
      <c r="DP59" s="104">
        <f t="shared" si="321"/>
        <v>24904.240000000002</v>
      </c>
      <c r="DQ59" s="104">
        <f t="shared" si="321"/>
        <v>29705.309999999998</v>
      </c>
      <c r="DR59" s="104">
        <f t="shared" si="321"/>
        <v>-3505.7999999999956</v>
      </c>
      <c r="DS59" s="104">
        <f t="shared" si="321"/>
        <v>-28445.46</v>
      </c>
      <c r="DT59" s="104">
        <f t="shared" si="321"/>
        <v>-31706.190000000002</v>
      </c>
      <c r="DU59" s="104">
        <f t="shared" si="321"/>
        <v>6705.77</v>
      </c>
      <c r="DV59" s="104">
        <f t="shared" si="321"/>
        <v>-6646.880000000001</v>
      </c>
      <c r="DW59" s="104">
        <f t="shared" si="321"/>
        <v>10467.64</v>
      </c>
      <c r="DX59" s="104">
        <f t="shared" si="321"/>
        <v>9468.0300000000007</v>
      </c>
      <c r="DY59" s="106">
        <f t="shared" si="321"/>
        <v>0</v>
      </c>
    </row>
    <row r="60" spans="1:129" x14ac:dyDescent="0.25">
      <c r="A60" s="188" t="s">
        <v>35</v>
      </c>
      <c r="B60" s="168">
        <v>-23.71</v>
      </c>
      <c r="C60" s="104">
        <v>65.06</v>
      </c>
      <c r="D60" s="104">
        <v>1381.64</v>
      </c>
      <c r="E60" s="104">
        <v>-562.20000000000005</v>
      </c>
      <c r="F60" s="104">
        <v>-2893.34</v>
      </c>
      <c r="G60" s="104">
        <v>-4347.83</v>
      </c>
      <c r="H60" s="104">
        <v>-5014.76</v>
      </c>
      <c r="I60" s="104">
        <v>-4391.1099999999997</v>
      </c>
      <c r="J60" s="104">
        <v>-3080.58</v>
      </c>
      <c r="K60" s="104">
        <v>-1800.91</v>
      </c>
      <c r="L60" s="168">
        <v>-805.44</v>
      </c>
      <c r="M60" s="104">
        <v>117.33</v>
      </c>
      <c r="N60" s="104">
        <v>498.87</v>
      </c>
      <c r="O60" s="104">
        <v>455.88</v>
      </c>
      <c r="P60" s="104">
        <v>2035.98</v>
      </c>
      <c r="Q60" s="104">
        <v>3369.9</v>
      </c>
      <c r="R60" s="104">
        <v>4131.97</v>
      </c>
      <c r="S60" s="104">
        <v>500.17</v>
      </c>
      <c r="T60" s="104">
        <v>920.17</v>
      </c>
      <c r="U60" s="104">
        <v>1652.79</v>
      </c>
      <c r="V60" s="104">
        <v>2016.62</v>
      </c>
      <c r="W60" s="104">
        <v>2762.63</v>
      </c>
      <c r="X60" s="168">
        <f t="shared" si="306"/>
        <v>-522.58000000000004</v>
      </c>
      <c r="Y60" s="104">
        <f t="shared" si="306"/>
        <v>-390.82</v>
      </c>
      <c r="Z60" s="104">
        <f t="shared" si="306"/>
        <v>-654.33999999999992</v>
      </c>
      <c r="AA60" s="104">
        <f t="shared" si="306"/>
        <v>-3932.1000000000004</v>
      </c>
      <c r="AB60" s="104">
        <f t="shared" si="306"/>
        <v>-7025.31</v>
      </c>
      <c r="AC60" s="104">
        <f t="shared" si="306"/>
        <v>-4848</v>
      </c>
      <c r="AD60" s="104">
        <f t="shared" si="306"/>
        <v>-5934.93</v>
      </c>
      <c r="AE60" s="104">
        <f t="shared" si="306"/>
        <v>-6043.9</v>
      </c>
      <c r="AF60" s="104">
        <f t="shared" si="306"/>
        <v>-5097.2</v>
      </c>
      <c r="AG60" s="106">
        <f t="shared" si="306"/>
        <v>-4563.54</v>
      </c>
      <c r="AH60" s="168">
        <v>3250.97</v>
      </c>
      <c r="AI60" s="104">
        <v>3168.14</v>
      </c>
      <c r="AJ60" s="104">
        <v>4082.17</v>
      </c>
      <c r="AK60" s="104">
        <v>1075.3800000000001</v>
      </c>
      <c r="AL60" s="104">
        <v>986.61</v>
      </c>
      <c r="AM60" s="104">
        <v>2323.54</v>
      </c>
      <c r="AN60" s="104">
        <v>4333.5200000000004</v>
      </c>
      <c r="AO60" s="104">
        <v>-2462.67</v>
      </c>
      <c r="AP60" s="104">
        <v>-3839.03</v>
      </c>
      <c r="AQ60" s="104">
        <v>-3439.93</v>
      </c>
      <c r="AR60" s="104">
        <v>-1399.4</v>
      </c>
      <c r="AS60" s="106">
        <v>120.94</v>
      </c>
      <c r="AT60" s="168">
        <f t="shared" ref="AT60:AT63" si="322">L60-AH60</f>
        <v>-4056.41</v>
      </c>
      <c r="AU60" s="104">
        <f t="shared" si="307"/>
        <v>-3050.81</v>
      </c>
      <c r="AV60" s="104">
        <f t="shared" si="307"/>
        <v>-3583.3</v>
      </c>
      <c r="AW60" s="104">
        <f t="shared" si="307"/>
        <v>-619.50000000000011</v>
      </c>
      <c r="AX60" s="104">
        <f t="shared" si="307"/>
        <v>1049.3699999999999</v>
      </c>
      <c r="AY60" s="104">
        <f t="shared" si="307"/>
        <v>1046.3600000000001</v>
      </c>
      <c r="AZ60" s="104">
        <f t="shared" si="307"/>
        <v>-201.55000000000018</v>
      </c>
      <c r="BA60" s="104">
        <f t="shared" si="307"/>
        <v>2962.84</v>
      </c>
      <c r="BB60" s="104">
        <f t="shared" si="307"/>
        <v>4759.2</v>
      </c>
      <c r="BC60" s="104">
        <f t="shared" si="307"/>
        <v>5092.7199999999993</v>
      </c>
      <c r="BD60" s="104">
        <f t="shared" si="307"/>
        <v>3416.02</v>
      </c>
      <c r="BE60" s="106">
        <f t="shared" si="307"/>
        <v>2641.69</v>
      </c>
      <c r="BF60" s="168">
        <v>2209.9</v>
      </c>
      <c r="BG60" s="104">
        <v>1149.48</v>
      </c>
      <c r="BH60" s="104">
        <v>-80.12</v>
      </c>
      <c r="BI60" s="104">
        <v>1222.32</v>
      </c>
      <c r="BJ60" s="104">
        <v>8544.31</v>
      </c>
      <c r="BK60" s="104">
        <v>4544.79</v>
      </c>
      <c r="BL60" s="104">
        <v>6435.28</v>
      </c>
      <c r="BM60" s="104">
        <v>-13869.73</v>
      </c>
      <c r="BN60" s="104">
        <v>-21437.96</v>
      </c>
      <c r="BO60" s="104">
        <v>-18503.810000000001</v>
      </c>
      <c r="BP60" s="104">
        <v>-11863.26</v>
      </c>
      <c r="BQ60" s="106">
        <v>-4835.7700000000004</v>
      </c>
      <c r="BR60" s="168">
        <f t="shared" si="308"/>
        <v>1041.0699999999997</v>
      </c>
      <c r="BS60" s="104">
        <f t="shared" si="309"/>
        <v>2018.6599999999999</v>
      </c>
      <c r="BT60" s="104">
        <f t="shared" si="310"/>
        <v>4162.29</v>
      </c>
      <c r="BU60" s="104">
        <f t="shared" si="311"/>
        <v>-146.93999999999983</v>
      </c>
      <c r="BV60" s="104">
        <f t="shared" si="312"/>
        <v>-7557.7</v>
      </c>
      <c r="BW60" s="104">
        <f t="shared" si="313"/>
        <v>-2221.25</v>
      </c>
      <c r="BX60" s="104">
        <f t="shared" si="314"/>
        <v>-2101.7599999999993</v>
      </c>
      <c r="BY60" s="104">
        <f t="shared" si="315"/>
        <v>11407.06</v>
      </c>
      <c r="BZ60" s="104">
        <f t="shared" si="316"/>
        <v>17598.93</v>
      </c>
      <c r="CA60" s="104">
        <f t="shared" si="317"/>
        <v>15063.880000000001</v>
      </c>
      <c r="CB60" s="104">
        <f t="shared" si="318"/>
        <v>10463.86</v>
      </c>
      <c r="CC60" s="106">
        <f t="shared" si="319"/>
        <v>4956.71</v>
      </c>
      <c r="CD60" s="168">
        <v>-1376.18</v>
      </c>
      <c r="CE60" s="104">
        <v>-388.87</v>
      </c>
      <c r="CF60" s="104">
        <v>-451.42</v>
      </c>
      <c r="CG60" s="104">
        <v>1524.25</v>
      </c>
      <c r="CH60" s="104">
        <v>7031.23</v>
      </c>
      <c r="CI60" s="104">
        <v>4146.4399999999996</v>
      </c>
      <c r="CJ60" s="104">
        <v>-210.58</v>
      </c>
      <c r="CK60" s="104">
        <v>1150.07</v>
      </c>
      <c r="CL60" s="104">
        <v>-7384.04</v>
      </c>
      <c r="CM60" s="104">
        <v>0</v>
      </c>
      <c r="CN60" s="104">
        <v>0</v>
      </c>
      <c r="CO60" s="106">
        <v>0</v>
      </c>
      <c r="CP60" s="104">
        <f t="shared" si="320"/>
        <v>-3586.08</v>
      </c>
      <c r="CQ60" s="104">
        <f t="shared" si="320"/>
        <v>-1538.35</v>
      </c>
      <c r="CR60" s="104">
        <f t="shared" si="320"/>
        <v>-371.3</v>
      </c>
      <c r="CS60" s="104">
        <f t="shared" si="320"/>
        <v>301.93000000000006</v>
      </c>
      <c r="CT60" s="104">
        <f t="shared" si="320"/>
        <v>-1513.08</v>
      </c>
      <c r="CU60" s="104">
        <f t="shared" si="320"/>
        <v>-398.35000000000036</v>
      </c>
      <c r="CV60" s="104">
        <f t="shared" si="320"/>
        <v>-6645.86</v>
      </c>
      <c r="CW60" s="104">
        <f t="shared" si="320"/>
        <v>15019.8</v>
      </c>
      <c r="CX60" s="104">
        <f t="shared" si="320"/>
        <v>14053.919999999998</v>
      </c>
      <c r="CY60" s="104">
        <f t="shared" si="320"/>
        <v>18503.810000000001</v>
      </c>
      <c r="CZ60" s="104">
        <f t="shared" si="320"/>
        <v>11863.26</v>
      </c>
      <c r="DA60" s="106">
        <f t="shared" si="320"/>
        <v>4835.7700000000004</v>
      </c>
      <c r="DB60" s="168">
        <f>34.71+17823.52</f>
        <v>17858.23</v>
      </c>
      <c r="DC60" s="104">
        <v>16364.26</v>
      </c>
      <c r="DD60" s="104">
        <v>16564.8</v>
      </c>
      <c r="DE60" s="104">
        <v>25121.5</v>
      </c>
      <c r="DF60" s="104">
        <f>121.83+171.82+4381.11+6649.23+11034.52</f>
        <v>22358.51</v>
      </c>
      <c r="DG60" s="104">
        <v>23486.5</v>
      </c>
      <c r="DH60" s="104">
        <v>17687.97</v>
      </c>
      <c r="DI60" s="104">
        <v>11126.18</v>
      </c>
      <c r="DJ60" s="104">
        <v>11126.18</v>
      </c>
      <c r="DK60" s="104">
        <v>11623.82</v>
      </c>
      <c r="DL60" s="104">
        <v>5299.75</v>
      </c>
      <c r="DM60" s="106"/>
      <c r="DN60" s="104">
        <f t="shared" ref="DN60:DN63" si="323">DB60-CD60</f>
        <v>19234.41</v>
      </c>
      <c r="DO60" s="104">
        <f t="shared" si="321"/>
        <v>16753.13</v>
      </c>
      <c r="DP60" s="104">
        <f t="shared" si="321"/>
        <v>17016.219999999998</v>
      </c>
      <c r="DQ60" s="104">
        <f t="shared" si="321"/>
        <v>23597.25</v>
      </c>
      <c r="DR60" s="104">
        <f t="shared" si="321"/>
        <v>15327.279999999999</v>
      </c>
      <c r="DS60" s="104">
        <f t="shared" si="321"/>
        <v>19340.060000000001</v>
      </c>
      <c r="DT60" s="104">
        <f t="shared" si="321"/>
        <v>17898.550000000003</v>
      </c>
      <c r="DU60" s="104">
        <f t="shared" si="321"/>
        <v>9976.11</v>
      </c>
      <c r="DV60" s="104">
        <f t="shared" si="321"/>
        <v>18510.22</v>
      </c>
      <c r="DW60" s="104">
        <f t="shared" si="321"/>
        <v>11623.82</v>
      </c>
      <c r="DX60" s="104">
        <f t="shared" si="321"/>
        <v>5299.75</v>
      </c>
      <c r="DY60" s="106">
        <f t="shared" si="321"/>
        <v>0</v>
      </c>
    </row>
    <row r="61" spans="1:129" x14ac:dyDescent="0.25">
      <c r="A61" s="188" t="s">
        <v>36</v>
      </c>
      <c r="B61" s="168">
        <v>-274.61</v>
      </c>
      <c r="C61" s="104">
        <v>-57.69</v>
      </c>
      <c r="D61" s="104">
        <v>784.84</v>
      </c>
      <c r="E61" s="104">
        <v>1103.9000000000001</v>
      </c>
      <c r="F61" s="104">
        <v>564.73</v>
      </c>
      <c r="G61" s="104">
        <v>-1.62</v>
      </c>
      <c r="H61" s="104">
        <v>-704.77</v>
      </c>
      <c r="I61" s="104">
        <v>-955.54</v>
      </c>
      <c r="J61" s="104">
        <v>-4093.03</v>
      </c>
      <c r="K61" s="104">
        <v>-2438.69</v>
      </c>
      <c r="L61" s="168">
        <v>-856.19</v>
      </c>
      <c r="M61" s="104">
        <v>-240.98</v>
      </c>
      <c r="N61" s="104">
        <v>-998.12</v>
      </c>
      <c r="O61" s="104">
        <v>-2746.04</v>
      </c>
      <c r="P61" s="104">
        <v>1005.11</v>
      </c>
      <c r="Q61" s="104">
        <v>2444.15</v>
      </c>
      <c r="R61" s="104">
        <v>352.86</v>
      </c>
      <c r="S61" s="104">
        <v>225.33</v>
      </c>
      <c r="T61" s="104">
        <v>-2759.15</v>
      </c>
      <c r="U61" s="104">
        <v>-3468.61</v>
      </c>
      <c r="V61" s="104">
        <v>-3524.46</v>
      </c>
      <c r="W61" s="104">
        <v>-3523.98</v>
      </c>
      <c r="X61" s="168">
        <f t="shared" si="306"/>
        <v>723.51</v>
      </c>
      <c r="Y61" s="104">
        <f t="shared" si="306"/>
        <v>2688.35</v>
      </c>
      <c r="Z61" s="104">
        <f t="shared" si="306"/>
        <v>-220.26999999999998</v>
      </c>
      <c r="AA61" s="104">
        <f t="shared" si="306"/>
        <v>-1340.25</v>
      </c>
      <c r="AB61" s="104">
        <f t="shared" si="306"/>
        <v>211.87</v>
      </c>
      <c r="AC61" s="104">
        <f t="shared" si="306"/>
        <v>-226.95000000000002</v>
      </c>
      <c r="AD61" s="104">
        <f t="shared" si="306"/>
        <v>2054.38</v>
      </c>
      <c r="AE61" s="104">
        <f t="shared" si="306"/>
        <v>2513.0700000000002</v>
      </c>
      <c r="AF61" s="104">
        <f t="shared" si="306"/>
        <v>-568.57000000000016</v>
      </c>
      <c r="AG61" s="106">
        <f t="shared" si="306"/>
        <v>1085.29</v>
      </c>
      <c r="AH61" s="168">
        <v>-3219.12</v>
      </c>
      <c r="AI61" s="104">
        <v>-3684.01</v>
      </c>
      <c r="AJ61" s="104">
        <v>-3152.12</v>
      </c>
      <c r="AK61" s="104">
        <v>-343.81</v>
      </c>
      <c r="AL61" s="104">
        <v>-672.54</v>
      </c>
      <c r="AM61" s="104">
        <v>-2059.31</v>
      </c>
      <c r="AN61" s="104">
        <v>-6729.51</v>
      </c>
      <c r="AO61" s="104">
        <v>-7435.2</v>
      </c>
      <c r="AP61" s="104">
        <v>-7585.14</v>
      </c>
      <c r="AQ61" s="104">
        <v>-7480.07</v>
      </c>
      <c r="AR61" s="104">
        <v>-6452.47</v>
      </c>
      <c r="AS61" s="106">
        <v>-4705.07</v>
      </c>
      <c r="AT61" s="168">
        <f t="shared" si="322"/>
        <v>2362.9299999999998</v>
      </c>
      <c r="AU61" s="104">
        <f t="shared" si="307"/>
        <v>3443.03</v>
      </c>
      <c r="AV61" s="104">
        <f t="shared" si="307"/>
        <v>2154</v>
      </c>
      <c r="AW61" s="104">
        <f t="shared" si="307"/>
        <v>-2402.23</v>
      </c>
      <c r="AX61" s="104">
        <f t="shared" si="307"/>
        <v>1677.65</v>
      </c>
      <c r="AY61" s="104">
        <f t="shared" si="307"/>
        <v>4503.46</v>
      </c>
      <c r="AZ61" s="104">
        <f t="shared" si="307"/>
        <v>7082.37</v>
      </c>
      <c r="BA61" s="104">
        <f t="shared" si="307"/>
        <v>7660.53</v>
      </c>
      <c r="BB61" s="104">
        <f t="shared" si="307"/>
        <v>4825.99</v>
      </c>
      <c r="BC61" s="104">
        <f t="shared" si="307"/>
        <v>4011.4599999999996</v>
      </c>
      <c r="BD61" s="104">
        <f t="shared" si="307"/>
        <v>2928.01</v>
      </c>
      <c r="BE61" s="106">
        <f t="shared" si="307"/>
        <v>1181.0899999999997</v>
      </c>
      <c r="BF61" s="168">
        <v>-5234.42</v>
      </c>
      <c r="BG61" s="104">
        <v>-3797.43</v>
      </c>
      <c r="BH61" s="104">
        <v>-4555.32</v>
      </c>
      <c r="BI61" s="104">
        <v>-4396.92</v>
      </c>
      <c r="BJ61" s="104">
        <v>-3150.72</v>
      </c>
      <c r="BK61" s="104">
        <v>-2168.62</v>
      </c>
      <c r="BL61" s="104">
        <v>-3067.11</v>
      </c>
      <c r="BM61" s="104">
        <v>-4611.5200000000004</v>
      </c>
      <c r="BN61" s="104">
        <v>-4705.2700000000004</v>
      </c>
      <c r="BO61" s="104">
        <v>-4989.3999999999996</v>
      </c>
      <c r="BP61" s="104">
        <v>-4886.2299999999996</v>
      </c>
      <c r="BQ61" s="106">
        <v>-3920.27</v>
      </c>
      <c r="BR61" s="168">
        <f t="shared" si="308"/>
        <v>2015.3000000000002</v>
      </c>
      <c r="BS61" s="104">
        <f t="shared" si="309"/>
        <v>113.41999999999962</v>
      </c>
      <c r="BT61" s="104">
        <f t="shared" si="310"/>
        <v>1403.1999999999998</v>
      </c>
      <c r="BU61" s="104">
        <f t="shared" si="311"/>
        <v>4053.11</v>
      </c>
      <c r="BV61" s="104">
        <f t="shared" si="312"/>
        <v>2478.1799999999998</v>
      </c>
      <c r="BW61" s="104">
        <f t="shared" si="313"/>
        <v>109.30999999999995</v>
      </c>
      <c r="BX61" s="104">
        <f t="shared" si="314"/>
        <v>-3662.4</v>
      </c>
      <c r="BY61" s="104">
        <f t="shared" si="315"/>
        <v>-2823.6799999999994</v>
      </c>
      <c r="BZ61" s="104">
        <f t="shared" si="316"/>
        <v>-2879.87</v>
      </c>
      <c r="CA61" s="104">
        <f t="shared" si="317"/>
        <v>-2490.67</v>
      </c>
      <c r="CB61" s="104">
        <f t="shared" si="318"/>
        <v>-1566.2400000000007</v>
      </c>
      <c r="CC61" s="106">
        <f t="shared" si="319"/>
        <v>-784.79999999999973</v>
      </c>
      <c r="CD61" s="168">
        <v>-3273.17</v>
      </c>
      <c r="CE61" s="104">
        <v>-3309.46</v>
      </c>
      <c r="CF61" s="104">
        <v>-3100.52</v>
      </c>
      <c r="CG61" s="104">
        <v>-2887.06</v>
      </c>
      <c r="CH61" s="104">
        <v>-292.12</v>
      </c>
      <c r="CI61" s="104">
        <v>992.91999999999985</v>
      </c>
      <c r="CJ61" s="104">
        <v>1329.41</v>
      </c>
      <c r="CK61" s="104">
        <v>-3014.5</v>
      </c>
      <c r="CL61" s="104">
        <v>-5352.06</v>
      </c>
      <c r="CM61" s="104">
        <v>0</v>
      </c>
      <c r="CN61" s="104">
        <v>0</v>
      </c>
      <c r="CO61" s="106">
        <v>0</v>
      </c>
      <c r="CP61" s="104">
        <f t="shared" si="320"/>
        <v>1961.25</v>
      </c>
      <c r="CQ61" s="104">
        <f t="shared" si="320"/>
        <v>487.9699999999998</v>
      </c>
      <c r="CR61" s="104">
        <f t="shared" si="320"/>
        <v>1454.7999999999997</v>
      </c>
      <c r="CS61" s="104">
        <f t="shared" si="320"/>
        <v>1509.8600000000001</v>
      </c>
      <c r="CT61" s="104">
        <f t="shared" si="320"/>
        <v>2858.6</v>
      </c>
      <c r="CU61" s="104">
        <f t="shared" si="320"/>
        <v>3161.54</v>
      </c>
      <c r="CV61" s="104">
        <f t="shared" si="320"/>
        <v>4396.5200000000004</v>
      </c>
      <c r="CW61" s="104">
        <f t="shared" si="320"/>
        <v>1597.0200000000004</v>
      </c>
      <c r="CX61" s="104">
        <f t="shared" si="320"/>
        <v>-646.79</v>
      </c>
      <c r="CY61" s="104">
        <f t="shared" si="320"/>
        <v>4989.3999999999996</v>
      </c>
      <c r="CZ61" s="104">
        <f t="shared" si="320"/>
        <v>4886.2299999999996</v>
      </c>
      <c r="DA61" s="106">
        <f t="shared" si="320"/>
        <v>3920.27</v>
      </c>
      <c r="DB61" s="168">
        <f>225.66+6.76</f>
        <v>232.42</v>
      </c>
      <c r="DC61" s="104">
        <v>156.19</v>
      </c>
      <c r="DD61" s="104">
        <v>812.28</v>
      </c>
      <c r="DE61" s="104">
        <v>1383.05</v>
      </c>
      <c r="DF61" s="104">
        <f>279.13+141.06+150.4+101.45+97.83+2.55</f>
        <v>772.42000000000007</v>
      </c>
      <c r="DG61" s="104">
        <v>655.12</v>
      </c>
      <c r="DH61" s="104">
        <v>0</v>
      </c>
      <c r="DI61" s="104">
        <v>4757.38</v>
      </c>
      <c r="DJ61" s="104">
        <v>4757.38</v>
      </c>
      <c r="DK61" s="104">
        <v>3606.1225899999999</v>
      </c>
      <c r="DL61" s="104">
        <v>4049.43</v>
      </c>
      <c r="DM61" s="106"/>
      <c r="DN61" s="104">
        <f t="shared" si="323"/>
        <v>3505.59</v>
      </c>
      <c r="DO61" s="104">
        <f t="shared" si="321"/>
        <v>3465.65</v>
      </c>
      <c r="DP61" s="104">
        <f t="shared" si="321"/>
        <v>3912.8</v>
      </c>
      <c r="DQ61" s="104">
        <f t="shared" si="321"/>
        <v>4270.1099999999997</v>
      </c>
      <c r="DR61" s="104">
        <f t="shared" si="321"/>
        <v>1064.54</v>
      </c>
      <c r="DS61" s="104">
        <f t="shared" si="321"/>
        <v>-337.79999999999984</v>
      </c>
      <c r="DT61" s="104">
        <f t="shared" si="321"/>
        <v>-1329.41</v>
      </c>
      <c r="DU61" s="104">
        <f t="shared" si="321"/>
        <v>7771.88</v>
      </c>
      <c r="DV61" s="104">
        <f t="shared" si="321"/>
        <v>10109.44</v>
      </c>
      <c r="DW61" s="104">
        <f t="shared" si="321"/>
        <v>3606.1225899999999</v>
      </c>
      <c r="DX61" s="104">
        <f t="shared" si="321"/>
        <v>4049.43</v>
      </c>
      <c r="DY61" s="106">
        <f t="shared" si="321"/>
        <v>0</v>
      </c>
    </row>
    <row r="62" spans="1:129" x14ac:dyDescent="0.25">
      <c r="A62" s="188" t="s">
        <v>37</v>
      </c>
      <c r="B62" s="168">
        <v>0</v>
      </c>
      <c r="C62" s="104">
        <v>0</v>
      </c>
      <c r="D62" s="104">
        <v>0</v>
      </c>
      <c r="E62" s="104">
        <v>0</v>
      </c>
      <c r="F62" s="104">
        <v>0</v>
      </c>
      <c r="G62" s="104">
        <v>0</v>
      </c>
      <c r="H62" s="104">
        <v>0</v>
      </c>
      <c r="I62" s="104">
        <v>0</v>
      </c>
      <c r="J62" s="104">
        <v>0</v>
      </c>
      <c r="K62" s="104">
        <v>0</v>
      </c>
      <c r="L62" s="168">
        <v>0</v>
      </c>
      <c r="M62" s="104">
        <v>0</v>
      </c>
      <c r="N62" s="104">
        <v>0</v>
      </c>
      <c r="O62" s="104">
        <v>0</v>
      </c>
      <c r="P62" s="104">
        <v>0</v>
      </c>
      <c r="Q62" s="104">
        <v>0</v>
      </c>
      <c r="R62" s="104">
        <v>0</v>
      </c>
      <c r="S62" s="104">
        <v>0</v>
      </c>
      <c r="T62" s="104">
        <v>0</v>
      </c>
      <c r="U62" s="104">
        <v>0</v>
      </c>
      <c r="V62" s="104">
        <v>0</v>
      </c>
      <c r="W62" s="104">
        <v>0</v>
      </c>
      <c r="X62" s="168">
        <f t="shared" si="306"/>
        <v>0</v>
      </c>
      <c r="Y62" s="104">
        <f t="shared" si="306"/>
        <v>0</v>
      </c>
      <c r="Z62" s="104">
        <f t="shared" si="306"/>
        <v>0</v>
      </c>
      <c r="AA62" s="104">
        <f t="shared" si="306"/>
        <v>0</v>
      </c>
      <c r="AB62" s="104">
        <f t="shared" si="306"/>
        <v>0</v>
      </c>
      <c r="AC62" s="104">
        <f t="shared" si="306"/>
        <v>0</v>
      </c>
      <c r="AD62" s="104">
        <f t="shared" si="306"/>
        <v>0</v>
      </c>
      <c r="AE62" s="104">
        <f t="shared" si="306"/>
        <v>0</v>
      </c>
      <c r="AF62" s="104">
        <f t="shared" si="306"/>
        <v>0</v>
      </c>
      <c r="AG62" s="106">
        <f t="shared" si="306"/>
        <v>0</v>
      </c>
      <c r="AH62" s="168">
        <v>0</v>
      </c>
      <c r="AI62" s="104">
        <v>0</v>
      </c>
      <c r="AJ62" s="104">
        <v>0</v>
      </c>
      <c r="AK62" s="104">
        <v>0</v>
      </c>
      <c r="AL62" s="104">
        <v>0</v>
      </c>
      <c r="AM62" s="104">
        <v>0</v>
      </c>
      <c r="AN62" s="104">
        <v>0</v>
      </c>
      <c r="AO62" s="104">
        <v>0</v>
      </c>
      <c r="AP62" s="104">
        <v>0</v>
      </c>
      <c r="AQ62" s="104">
        <v>0</v>
      </c>
      <c r="AR62" s="104">
        <v>0</v>
      </c>
      <c r="AS62" s="106">
        <v>0</v>
      </c>
      <c r="AT62" s="168">
        <f t="shared" si="322"/>
        <v>0</v>
      </c>
      <c r="AU62" s="104">
        <f t="shared" si="307"/>
        <v>0</v>
      </c>
      <c r="AV62" s="104">
        <f t="shared" si="307"/>
        <v>0</v>
      </c>
      <c r="AW62" s="104">
        <f t="shared" si="307"/>
        <v>0</v>
      </c>
      <c r="AX62" s="104">
        <f t="shared" si="307"/>
        <v>0</v>
      </c>
      <c r="AY62" s="104">
        <f t="shared" si="307"/>
        <v>0</v>
      </c>
      <c r="AZ62" s="104">
        <f t="shared" si="307"/>
        <v>0</v>
      </c>
      <c r="BA62" s="104">
        <f t="shared" si="307"/>
        <v>0</v>
      </c>
      <c r="BB62" s="104">
        <f t="shared" si="307"/>
        <v>0</v>
      </c>
      <c r="BC62" s="104">
        <f t="shared" si="307"/>
        <v>0</v>
      </c>
      <c r="BD62" s="104">
        <f t="shared" si="307"/>
        <v>0</v>
      </c>
      <c r="BE62" s="106">
        <f t="shared" si="307"/>
        <v>0</v>
      </c>
      <c r="BF62" s="168">
        <v>0</v>
      </c>
      <c r="BG62" s="104">
        <v>0</v>
      </c>
      <c r="BH62" s="104">
        <v>0</v>
      </c>
      <c r="BI62" s="104">
        <v>0</v>
      </c>
      <c r="BJ62" s="104">
        <v>0</v>
      </c>
      <c r="BK62" s="104">
        <v>0</v>
      </c>
      <c r="BL62" s="104">
        <v>0</v>
      </c>
      <c r="BM62" s="104">
        <v>0</v>
      </c>
      <c r="BN62" s="104">
        <v>0</v>
      </c>
      <c r="BO62" s="104">
        <v>0</v>
      </c>
      <c r="BP62" s="104">
        <v>0</v>
      </c>
      <c r="BQ62" s="106">
        <v>0</v>
      </c>
      <c r="BR62" s="168">
        <f t="shared" si="308"/>
        <v>0</v>
      </c>
      <c r="BS62" s="104">
        <f t="shared" si="309"/>
        <v>0</v>
      </c>
      <c r="BT62" s="104">
        <f t="shared" si="310"/>
        <v>0</v>
      </c>
      <c r="BU62" s="104">
        <f t="shared" si="311"/>
        <v>0</v>
      </c>
      <c r="BV62" s="104">
        <f t="shared" si="312"/>
        <v>0</v>
      </c>
      <c r="BW62" s="104">
        <f t="shared" si="313"/>
        <v>0</v>
      </c>
      <c r="BX62" s="104">
        <f t="shared" si="314"/>
        <v>0</v>
      </c>
      <c r="BY62" s="104">
        <f t="shared" si="315"/>
        <v>0</v>
      </c>
      <c r="BZ62" s="104">
        <f t="shared" si="316"/>
        <v>0</v>
      </c>
      <c r="CA62" s="104">
        <f t="shared" si="317"/>
        <v>0</v>
      </c>
      <c r="CB62" s="104">
        <f t="shared" si="318"/>
        <v>0</v>
      </c>
      <c r="CC62" s="106">
        <f t="shared" si="319"/>
        <v>0</v>
      </c>
      <c r="CD62" s="168">
        <v>0</v>
      </c>
      <c r="CE62" s="104">
        <v>0</v>
      </c>
      <c r="CF62" s="104">
        <v>0</v>
      </c>
      <c r="CG62" s="104">
        <v>0</v>
      </c>
      <c r="CH62" s="104">
        <v>0</v>
      </c>
      <c r="CI62" s="104">
        <v>0</v>
      </c>
      <c r="CJ62" s="104">
        <v>0</v>
      </c>
      <c r="CK62" s="104">
        <v>0</v>
      </c>
      <c r="CL62" s="104">
        <v>0</v>
      </c>
      <c r="CM62" s="104">
        <v>0</v>
      </c>
      <c r="CN62" s="104">
        <v>0</v>
      </c>
      <c r="CO62" s="106">
        <v>0</v>
      </c>
      <c r="CP62" s="168">
        <f t="shared" si="320"/>
        <v>0</v>
      </c>
      <c r="CQ62" s="104">
        <f t="shared" si="320"/>
        <v>0</v>
      </c>
      <c r="CR62" s="104">
        <f t="shared" si="320"/>
        <v>0</v>
      </c>
      <c r="CS62" s="104">
        <f t="shared" si="320"/>
        <v>0</v>
      </c>
      <c r="CT62" s="104">
        <f t="shared" si="320"/>
        <v>0</v>
      </c>
      <c r="CU62" s="104">
        <f t="shared" si="320"/>
        <v>0</v>
      </c>
      <c r="CV62" s="104">
        <f t="shared" si="320"/>
        <v>0</v>
      </c>
      <c r="CW62" s="104">
        <f t="shared" si="320"/>
        <v>0</v>
      </c>
      <c r="CX62" s="104">
        <f t="shared" si="320"/>
        <v>0</v>
      </c>
      <c r="CY62" s="104">
        <f t="shared" si="320"/>
        <v>0</v>
      </c>
      <c r="CZ62" s="104">
        <f t="shared" si="320"/>
        <v>0</v>
      </c>
      <c r="DA62" s="106">
        <f t="shared" si="320"/>
        <v>0</v>
      </c>
      <c r="DB62" s="168">
        <v>0</v>
      </c>
      <c r="DC62" s="104">
        <v>0</v>
      </c>
      <c r="DD62" s="104">
        <v>0</v>
      </c>
      <c r="DE62" s="104">
        <v>0</v>
      </c>
      <c r="DF62" s="104">
        <v>0</v>
      </c>
      <c r="DG62" s="104">
        <v>0</v>
      </c>
      <c r="DH62" s="104">
        <v>0</v>
      </c>
      <c r="DI62" s="104">
        <v>0</v>
      </c>
      <c r="DJ62" s="104">
        <v>0</v>
      </c>
      <c r="DK62" s="104">
        <v>0</v>
      </c>
      <c r="DL62" s="104">
        <v>0</v>
      </c>
      <c r="DM62" s="106"/>
      <c r="DN62" s="104">
        <f t="shared" si="323"/>
        <v>0</v>
      </c>
      <c r="DO62" s="104">
        <f t="shared" si="321"/>
        <v>0</v>
      </c>
      <c r="DP62" s="104">
        <f t="shared" si="321"/>
        <v>0</v>
      </c>
      <c r="DQ62" s="104">
        <f t="shared" si="321"/>
        <v>0</v>
      </c>
      <c r="DR62" s="104">
        <f t="shared" si="321"/>
        <v>0</v>
      </c>
      <c r="DS62" s="104">
        <f t="shared" si="321"/>
        <v>0</v>
      </c>
      <c r="DT62" s="104">
        <f t="shared" si="321"/>
        <v>0</v>
      </c>
      <c r="DU62" s="104">
        <f t="shared" si="321"/>
        <v>0</v>
      </c>
      <c r="DV62" s="104">
        <f t="shared" si="321"/>
        <v>0</v>
      </c>
      <c r="DW62" s="104">
        <f t="shared" si="321"/>
        <v>0</v>
      </c>
      <c r="DX62" s="104">
        <f t="shared" si="321"/>
        <v>0</v>
      </c>
      <c r="DY62" s="106">
        <f t="shared" si="321"/>
        <v>0</v>
      </c>
    </row>
    <row r="63" spans="1:129" x14ac:dyDescent="0.25">
      <c r="A63" s="188" t="s">
        <v>46</v>
      </c>
      <c r="B63" s="168">
        <v>0</v>
      </c>
      <c r="C63" s="104">
        <v>0</v>
      </c>
      <c r="D63" s="104">
        <v>0</v>
      </c>
      <c r="E63" s="104">
        <v>0</v>
      </c>
      <c r="F63" s="104">
        <v>0</v>
      </c>
      <c r="G63" s="104">
        <v>0</v>
      </c>
      <c r="H63" s="104">
        <v>0</v>
      </c>
      <c r="I63" s="104">
        <v>0</v>
      </c>
      <c r="J63" s="104">
        <v>0</v>
      </c>
      <c r="K63" s="104">
        <v>0</v>
      </c>
      <c r="L63" s="168">
        <v>0</v>
      </c>
      <c r="M63" s="104">
        <v>0</v>
      </c>
      <c r="N63" s="104">
        <v>0</v>
      </c>
      <c r="O63" s="104">
        <v>0</v>
      </c>
      <c r="P63" s="104">
        <v>0</v>
      </c>
      <c r="Q63" s="104">
        <v>0</v>
      </c>
      <c r="R63" s="104">
        <v>0</v>
      </c>
      <c r="S63" s="104">
        <v>0</v>
      </c>
      <c r="T63" s="104">
        <v>0</v>
      </c>
      <c r="U63" s="104">
        <v>0</v>
      </c>
      <c r="V63" s="104">
        <v>0</v>
      </c>
      <c r="W63" s="104">
        <v>0</v>
      </c>
      <c r="X63" s="168">
        <f t="shared" si="306"/>
        <v>0</v>
      </c>
      <c r="Y63" s="104">
        <f t="shared" si="306"/>
        <v>0</v>
      </c>
      <c r="Z63" s="104">
        <f t="shared" si="306"/>
        <v>0</v>
      </c>
      <c r="AA63" s="104">
        <f t="shared" si="306"/>
        <v>0</v>
      </c>
      <c r="AB63" s="104">
        <f t="shared" si="306"/>
        <v>0</v>
      </c>
      <c r="AC63" s="104">
        <f t="shared" si="306"/>
        <v>0</v>
      </c>
      <c r="AD63" s="104">
        <f t="shared" si="306"/>
        <v>0</v>
      </c>
      <c r="AE63" s="104">
        <f t="shared" si="306"/>
        <v>0</v>
      </c>
      <c r="AF63" s="104">
        <f t="shared" si="306"/>
        <v>0</v>
      </c>
      <c r="AG63" s="106">
        <f t="shared" si="306"/>
        <v>0</v>
      </c>
      <c r="AH63" s="168">
        <v>0</v>
      </c>
      <c r="AI63" s="104">
        <v>0</v>
      </c>
      <c r="AJ63" s="104">
        <v>0</v>
      </c>
      <c r="AK63" s="104">
        <v>0</v>
      </c>
      <c r="AL63" s="104">
        <v>0</v>
      </c>
      <c r="AM63" s="104">
        <v>0</v>
      </c>
      <c r="AN63" s="104">
        <v>0</v>
      </c>
      <c r="AO63" s="104">
        <v>0</v>
      </c>
      <c r="AP63" s="104">
        <v>0</v>
      </c>
      <c r="AQ63" s="104">
        <v>0</v>
      </c>
      <c r="AR63" s="104">
        <v>0</v>
      </c>
      <c r="AS63" s="106">
        <v>0</v>
      </c>
      <c r="AT63" s="168">
        <f t="shared" si="322"/>
        <v>0</v>
      </c>
      <c r="AU63" s="104">
        <f t="shared" si="307"/>
        <v>0</v>
      </c>
      <c r="AV63" s="104">
        <f t="shared" si="307"/>
        <v>0</v>
      </c>
      <c r="AW63" s="104">
        <f t="shared" si="307"/>
        <v>0</v>
      </c>
      <c r="AX63" s="104">
        <f t="shared" si="307"/>
        <v>0</v>
      </c>
      <c r="AY63" s="104">
        <f t="shared" si="307"/>
        <v>0</v>
      </c>
      <c r="AZ63" s="104">
        <f t="shared" si="307"/>
        <v>0</v>
      </c>
      <c r="BA63" s="104">
        <f t="shared" si="307"/>
        <v>0</v>
      </c>
      <c r="BB63" s="104">
        <f t="shared" si="307"/>
        <v>0</v>
      </c>
      <c r="BC63" s="104">
        <f t="shared" si="307"/>
        <v>0</v>
      </c>
      <c r="BD63" s="104">
        <f t="shared" si="307"/>
        <v>0</v>
      </c>
      <c r="BE63" s="106">
        <f t="shared" si="307"/>
        <v>0</v>
      </c>
      <c r="BF63" s="168">
        <v>0</v>
      </c>
      <c r="BG63" s="104">
        <v>0</v>
      </c>
      <c r="BH63" s="104">
        <v>0</v>
      </c>
      <c r="BI63" s="104">
        <v>0</v>
      </c>
      <c r="BJ63" s="104">
        <v>0</v>
      </c>
      <c r="BK63" s="104">
        <v>0</v>
      </c>
      <c r="BL63" s="104">
        <v>0</v>
      </c>
      <c r="BM63" s="104">
        <v>0</v>
      </c>
      <c r="BN63" s="104">
        <v>0</v>
      </c>
      <c r="BO63" s="104">
        <v>0</v>
      </c>
      <c r="BP63" s="104">
        <v>0</v>
      </c>
      <c r="BQ63" s="106">
        <v>0</v>
      </c>
      <c r="BR63" s="168">
        <f t="shared" si="308"/>
        <v>0</v>
      </c>
      <c r="BS63" s="104">
        <f t="shared" si="309"/>
        <v>0</v>
      </c>
      <c r="BT63" s="104">
        <f t="shared" si="310"/>
        <v>0</v>
      </c>
      <c r="BU63" s="104">
        <f t="shared" si="311"/>
        <v>0</v>
      </c>
      <c r="BV63" s="104">
        <f t="shared" si="312"/>
        <v>0</v>
      </c>
      <c r="BW63" s="104">
        <f t="shared" si="313"/>
        <v>0</v>
      </c>
      <c r="BX63" s="104">
        <f t="shared" si="314"/>
        <v>0</v>
      </c>
      <c r="BY63" s="104">
        <f t="shared" si="315"/>
        <v>0</v>
      </c>
      <c r="BZ63" s="104">
        <f t="shared" si="316"/>
        <v>0</v>
      </c>
      <c r="CA63" s="104">
        <f t="shared" si="317"/>
        <v>0</v>
      </c>
      <c r="CB63" s="104">
        <f t="shared" si="318"/>
        <v>0</v>
      </c>
      <c r="CC63" s="106">
        <f t="shared" si="319"/>
        <v>0</v>
      </c>
      <c r="CD63" s="168">
        <v>0</v>
      </c>
      <c r="CE63" s="104">
        <v>0</v>
      </c>
      <c r="CF63" s="104">
        <v>0</v>
      </c>
      <c r="CG63" s="104">
        <v>0</v>
      </c>
      <c r="CH63" s="104">
        <v>0</v>
      </c>
      <c r="CI63" s="104">
        <v>0</v>
      </c>
      <c r="CJ63" s="104">
        <v>0</v>
      </c>
      <c r="CK63" s="104">
        <v>0</v>
      </c>
      <c r="CL63" s="104">
        <v>0</v>
      </c>
      <c r="CM63" s="104">
        <v>0</v>
      </c>
      <c r="CN63" s="104">
        <v>0</v>
      </c>
      <c r="CO63" s="106">
        <v>0</v>
      </c>
      <c r="CP63" s="104">
        <f t="shared" si="320"/>
        <v>0</v>
      </c>
      <c r="CQ63" s="104">
        <f t="shared" si="320"/>
        <v>0</v>
      </c>
      <c r="CR63" s="104">
        <f t="shared" si="320"/>
        <v>0</v>
      </c>
      <c r="CS63" s="104">
        <f t="shared" si="320"/>
        <v>0</v>
      </c>
      <c r="CT63" s="104">
        <f t="shared" si="320"/>
        <v>0</v>
      </c>
      <c r="CU63" s="104">
        <f t="shared" si="320"/>
        <v>0</v>
      </c>
      <c r="CV63" s="104">
        <f t="shared" si="320"/>
        <v>0</v>
      </c>
      <c r="CW63" s="104">
        <f t="shared" si="320"/>
        <v>0</v>
      </c>
      <c r="CX63" s="104">
        <f t="shared" si="320"/>
        <v>0</v>
      </c>
      <c r="CY63" s="104">
        <f t="shared" si="320"/>
        <v>0</v>
      </c>
      <c r="CZ63" s="104">
        <f t="shared" si="320"/>
        <v>0</v>
      </c>
      <c r="DA63" s="106">
        <f t="shared" si="320"/>
        <v>0</v>
      </c>
      <c r="DB63" s="168">
        <v>0</v>
      </c>
      <c r="DC63" s="104">
        <v>0</v>
      </c>
      <c r="DD63" s="104">
        <v>0</v>
      </c>
      <c r="DE63" s="104">
        <v>0</v>
      </c>
      <c r="DF63" s="104">
        <v>0</v>
      </c>
      <c r="DG63" s="104">
        <v>0</v>
      </c>
      <c r="DH63" s="104">
        <v>0</v>
      </c>
      <c r="DI63" s="104">
        <v>0</v>
      </c>
      <c r="DJ63" s="104">
        <v>0</v>
      </c>
      <c r="DK63" s="104">
        <v>0</v>
      </c>
      <c r="DL63" s="104">
        <v>0</v>
      </c>
      <c r="DM63" s="106"/>
      <c r="DN63" s="104">
        <f t="shared" si="323"/>
        <v>0</v>
      </c>
      <c r="DO63" s="104">
        <f t="shared" si="321"/>
        <v>0</v>
      </c>
      <c r="DP63" s="104">
        <f t="shared" si="321"/>
        <v>0</v>
      </c>
      <c r="DQ63" s="104">
        <f t="shared" si="321"/>
        <v>0</v>
      </c>
      <c r="DR63" s="104">
        <f t="shared" si="321"/>
        <v>0</v>
      </c>
      <c r="DS63" s="104">
        <f t="shared" si="321"/>
        <v>0</v>
      </c>
      <c r="DT63" s="104">
        <f t="shared" si="321"/>
        <v>0</v>
      </c>
      <c r="DU63" s="104">
        <f t="shared" si="321"/>
        <v>0</v>
      </c>
      <c r="DV63" s="104">
        <f t="shared" si="321"/>
        <v>0</v>
      </c>
      <c r="DW63" s="104">
        <f t="shared" si="321"/>
        <v>0</v>
      </c>
      <c r="DX63" s="104">
        <f t="shared" si="321"/>
        <v>0</v>
      </c>
      <c r="DY63" s="106">
        <f t="shared" si="321"/>
        <v>0</v>
      </c>
    </row>
    <row r="64" spans="1:129" x14ac:dyDescent="0.25">
      <c r="A64" s="188" t="s">
        <v>39</v>
      </c>
      <c r="B64" s="168">
        <f>SUM(B59:B63)</f>
        <v>1540.2199999999998</v>
      </c>
      <c r="C64" s="104">
        <f t="shared" ref="C64:K64" si="324">SUM(C59:C63)</f>
        <v>4185.0400000000009</v>
      </c>
      <c r="D64" s="104">
        <f t="shared" si="324"/>
        <v>19893.349999999999</v>
      </c>
      <c r="E64" s="104">
        <f t="shared" si="324"/>
        <v>21646.639999999999</v>
      </c>
      <c r="F64" s="104">
        <f t="shared" si="324"/>
        <v>14769.899999999998</v>
      </c>
      <c r="G64" s="104">
        <f t="shared" si="324"/>
        <v>6262.22</v>
      </c>
      <c r="H64" s="104">
        <f t="shared" si="324"/>
        <v>2990.1199999999994</v>
      </c>
      <c r="I64" s="104">
        <f t="shared" si="324"/>
        <v>-731.1299999999992</v>
      </c>
      <c r="J64" s="104">
        <f t="shared" si="324"/>
        <v>-1842.6700000000005</v>
      </c>
      <c r="K64" s="104">
        <f t="shared" si="324"/>
        <v>-7441.02</v>
      </c>
      <c r="L64" s="168">
        <f>SUM(L59:L63)</f>
        <v>-3306.84</v>
      </c>
      <c r="M64" s="104">
        <f t="shared" ref="M64:W64" si="325">SUM(M59:M63)</f>
        <v>-48.27000000000001</v>
      </c>
      <c r="N64" s="104">
        <f t="shared" si="325"/>
        <v>1617.13</v>
      </c>
      <c r="O64" s="104">
        <f t="shared" si="325"/>
        <v>-1049.06</v>
      </c>
      <c r="P64" s="104">
        <f t="shared" si="325"/>
        <v>28432.16</v>
      </c>
      <c r="Q64" s="104">
        <f t="shared" si="325"/>
        <v>41613.29</v>
      </c>
      <c r="R64" s="104">
        <f t="shared" si="325"/>
        <v>44973.490000000005</v>
      </c>
      <c r="S64" s="104">
        <f t="shared" si="325"/>
        <v>38920.54</v>
      </c>
      <c r="T64" s="104">
        <f t="shared" si="325"/>
        <v>24048.989999999998</v>
      </c>
      <c r="U64" s="104">
        <f t="shared" si="325"/>
        <v>17786.28</v>
      </c>
      <c r="V64" s="104">
        <f t="shared" si="325"/>
        <v>19171.099999999999</v>
      </c>
      <c r="W64" s="104">
        <f t="shared" si="325"/>
        <v>25304.49</v>
      </c>
      <c r="X64" s="168">
        <f t="shared" ref="X64:AG64" si="326">SUM(X59:X63)</f>
        <v>-76.910000000000196</v>
      </c>
      <c r="Y64" s="104">
        <f t="shared" si="326"/>
        <v>5234.1000000000004</v>
      </c>
      <c r="Z64" s="104">
        <f t="shared" si="326"/>
        <v>-8538.8100000000013</v>
      </c>
      <c r="AA64" s="104">
        <f t="shared" si="326"/>
        <v>-19966.650000000001</v>
      </c>
      <c r="AB64" s="104">
        <f t="shared" si="326"/>
        <v>-30203.590000000007</v>
      </c>
      <c r="AC64" s="104">
        <f t="shared" si="326"/>
        <v>-32658.320000000003</v>
      </c>
      <c r="AD64" s="104">
        <f t="shared" si="326"/>
        <v>-21058.87</v>
      </c>
      <c r="AE64" s="104">
        <f t="shared" si="326"/>
        <v>-18517.409999999996</v>
      </c>
      <c r="AF64" s="104">
        <f t="shared" si="326"/>
        <v>-21013.77</v>
      </c>
      <c r="AG64" s="106">
        <f t="shared" si="326"/>
        <v>-32745.510000000002</v>
      </c>
      <c r="AH64" s="168">
        <f t="shared" ref="AH64:BE64" si="327">SUM(AH59:AH63)</f>
        <v>28157.38</v>
      </c>
      <c r="AI64" s="104">
        <f t="shared" si="327"/>
        <v>24095.339999999997</v>
      </c>
      <c r="AJ64" s="104">
        <f t="shared" si="327"/>
        <v>30821.95</v>
      </c>
      <c r="AK64" s="104">
        <f t="shared" si="327"/>
        <v>9786.0000000000018</v>
      </c>
      <c r="AL64" s="104">
        <f t="shared" si="327"/>
        <v>18601.37</v>
      </c>
      <c r="AM64" s="104">
        <f t="shared" si="327"/>
        <v>44407.960000000006</v>
      </c>
      <c r="AN64" s="104">
        <f t="shared" si="327"/>
        <v>27383.219999999994</v>
      </c>
      <c r="AO64" s="104">
        <f t="shared" si="327"/>
        <v>15791.240000000002</v>
      </c>
      <c r="AP64" s="104">
        <f t="shared" si="327"/>
        <v>-4378.67</v>
      </c>
      <c r="AQ64" s="104">
        <f t="shared" si="327"/>
        <v>-8899.369999999999</v>
      </c>
      <c r="AR64" s="104">
        <f t="shared" si="327"/>
        <v>-1809.3100000000004</v>
      </c>
      <c r="AS64" s="106">
        <f t="shared" si="327"/>
        <v>-2634.3799999999997</v>
      </c>
      <c r="AT64" s="168">
        <f t="shared" si="327"/>
        <v>-31464.219999999994</v>
      </c>
      <c r="AU64" s="104">
        <f t="shared" si="327"/>
        <v>-24143.61</v>
      </c>
      <c r="AV64" s="104">
        <f t="shared" si="327"/>
        <v>-29204.82</v>
      </c>
      <c r="AW64" s="104">
        <f t="shared" si="327"/>
        <v>-10835.06</v>
      </c>
      <c r="AX64" s="104">
        <f t="shared" si="327"/>
        <v>9830.7900000000009</v>
      </c>
      <c r="AY64" s="104">
        <f t="shared" si="327"/>
        <v>-2794.6700000000046</v>
      </c>
      <c r="AZ64" s="104">
        <f t="shared" si="327"/>
        <v>17590.270000000004</v>
      </c>
      <c r="BA64" s="104">
        <f t="shared" si="327"/>
        <v>23129.3</v>
      </c>
      <c r="BB64" s="104">
        <f t="shared" si="327"/>
        <v>28427.660000000003</v>
      </c>
      <c r="BC64" s="104">
        <f t="shared" si="327"/>
        <v>26685.649999999994</v>
      </c>
      <c r="BD64" s="104">
        <f t="shared" si="327"/>
        <v>20980.409999999996</v>
      </c>
      <c r="BE64" s="106">
        <f t="shared" si="327"/>
        <v>27938.87</v>
      </c>
      <c r="BF64" s="168">
        <f>SUM(BF59:BF63)</f>
        <v>-1815.4099999999999</v>
      </c>
      <c r="BG64" s="104">
        <f>SUM(BG59:BG63)</f>
        <v>-3083</v>
      </c>
      <c r="BH64" s="104">
        <f>SUM(BH59:BH63)</f>
        <v>-4286.5999999999995</v>
      </c>
      <c r="BI64" s="104">
        <f>SUM(BI59:BI63)</f>
        <v>-3427.57</v>
      </c>
      <c r="BJ64" s="104">
        <v>34770.870000000003</v>
      </c>
      <c r="BK64" s="104">
        <f>SUM(BK59:BK61)</f>
        <v>35304.119999999995</v>
      </c>
      <c r="BL64" s="104">
        <v>28283.200000000001</v>
      </c>
      <c r="BM64" s="104">
        <v>-4457.84</v>
      </c>
      <c r="BN64" s="104">
        <v>-22298.42</v>
      </c>
      <c r="BO64" s="104">
        <f>SUM(BO59:BO63)</f>
        <v>-24108.260000000002</v>
      </c>
      <c r="BP64" s="104">
        <v>-23025.81</v>
      </c>
      <c r="BQ64" s="106">
        <v>10074.41</v>
      </c>
      <c r="BR64" s="168">
        <f t="shared" ref="BR64:CC64" si="328">SUM(BR59:BR63)</f>
        <v>29972.789999999997</v>
      </c>
      <c r="BS64" s="104">
        <f t="shared" si="328"/>
        <v>27178.339999999997</v>
      </c>
      <c r="BT64" s="104">
        <f t="shared" si="328"/>
        <v>35108.549999999996</v>
      </c>
      <c r="BU64" s="104">
        <f t="shared" si="328"/>
        <v>13213.57</v>
      </c>
      <c r="BV64" s="104">
        <f t="shared" si="328"/>
        <v>-16169.5</v>
      </c>
      <c r="BW64" s="104">
        <f t="shared" si="328"/>
        <v>9103.8400000000056</v>
      </c>
      <c r="BX64" s="104">
        <f t="shared" si="328"/>
        <v>-899.97999999999911</v>
      </c>
      <c r="BY64" s="104">
        <f t="shared" si="328"/>
        <v>20249.080000000002</v>
      </c>
      <c r="BZ64" s="104">
        <f t="shared" si="328"/>
        <v>17919.75</v>
      </c>
      <c r="CA64" s="104">
        <f t="shared" si="328"/>
        <v>15208.890000000001</v>
      </c>
      <c r="CB64" s="104">
        <f t="shared" si="328"/>
        <v>21216.5</v>
      </c>
      <c r="CC64" s="106">
        <f t="shared" si="328"/>
        <v>7440.0300000000007</v>
      </c>
      <c r="CD64" s="168">
        <f>SUM(CD59:CD63)</f>
        <v>-7996.41</v>
      </c>
      <c r="CE64" s="104">
        <f t="shared" ref="CE64:CN64" si="329">SUM(CE59:CE61)</f>
        <v>-7972.73</v>
      </c>
      <c r="CF64" s="104">
        <f t="shared" si="329"/>
        <v>-5953.09</v>
      </c>
      <c r="CG64" s="104">
        <f t="shared" si="329"/>
        <v>6732.1200000000008</v>
      </c>
      <c r="CH64" s="104">
        <f t="shared" si="329"/>
        <v>44433.44999999999</v>
      </c>
      <c r="CI64" s="104">
        <f t="shared" si="329"/>
        <v>55909.08</v>
      </c>
      <c r="CJ64" s="104">
        <f t="shared" si="329"/>
        <v>50643.950000000004</v>
      </c>
      <c r="CK64" s="104">
        <f t="shared" si="329"/>
        <v>3696.2299999999996</v>
      </c>
      <c r="CL64" s="104">
        <f t="shared" si="329"/>
        <v>6068.37</v>
      </c>
      <c r="CM64" s="104">
        <f t="shared" si="329"/>
        <v>0</v>
      </c>
      <c r="CN64" s="104">
        <f t="shared" si="329"/>
        <v>0</v>
      </c>
      <c r="CO64" s="106">
        <v>0</v>
      </c>
      <c r="CP64" s="104">
        <f t="shared" si="320"/>
        <v>-6181</v>
      </c>
      <c r="CQ64" s="104">
        <f t="shared" si="320"/>
        <v>-4889.7299999999996</v>
      </c>
      <c r="CR64" s="104">
        <f t="shared" si="320"/>
        <v>-1666.4900000000007</v>
      </c>
      <c r="CS64" s="104">
        <f t="shared" si="320"/>
        <v>10159.69</v>
      </c>
      <c r="CT64" s="104">
        <f t="shared" si="320"/>
        <v>9662.5799999999872</v>
      </c>
      <c r="CU64" s="104">
        <f t="shared" si="320"/>
        <v>20604.960000000006</v>
      </c>
      <c r="CV64" s="104">
        <f t="shared" si="320"/>
        <v>22360.750000000004</v>
      </c>
      <c r="CW64" s="104">
        <f t="shared" si="320"/>
        <v>8154.07</v>
      </c>
      <c r="CX64" s="104">
        <f t="shared" si="320"/>
        <v>28366.789999999997</v>
      </c>
      <c r="CY64" s="104">
        <f t="shared" si="320"/>
        <v>24108.260000000002</v>
      </c>
      <c r="CZ64" s="104">
        <f t="shared" si="320"/>
        <v>23025.81</v>
      </c>
      <c r="DA64" s="106">
        <f t="shared" si="320"/>
        <v>-10074.41</v>
      </c>
      <c r="DB64" s="168">
        <f t="shared" ref="DB64:DL64" si="330">SUM(DB59:DB61)</f>
        <v>42673.45</v>
      </c>
      <c r="DC64" s="104">
        <f>SUM(DC59:DC63)</f>
        <v>37712.94</v>
      </c>
      <c r="DD64" s="104">
        <f>SUM(DD59:DD63)</f>
        <v>39880.17</v>
      </c>
      <c r="DE64" s="104">
        <f>SUM(DE59:DE63)</f>
        <v>64304.79</v>
      </c>
      <c r="DF64" s="104">
        <f t="shared" si="330"/>
        <v>57319.47</v>
      </c>
      <c r="DG64" s="104">
        <v>46465.880000000005</v>
      </c>
      <c r="DH64" s="104">
        <f>SUM(DH59:DH63)</f>
        <v>35506.9</v>
      </c>
      <c r="DI64" s="104">
        <f t="shared" si="330"/>
        <v>28149.99</v>
      </c>
      <c r="DJ64" s="104">
        <f>SUM(DJ59:DJ63)</f>
        <v>28041.15</v>
      </c>
      <c r="DK64" s="104">
        <f t="shared" si="330"/>
        <v>25697.582589999998</v>
      </c>
      <c r="DL64" s="104">
        <f t="shared" si="330"/>
        <v>18817.21</v>
      </c>
      <c r="DM64" s="106">
        <f>SUM(DM59:DM62)</f>
        <v>0</v>
      </c>
      <c r="DN64" s="104">
        <f>SUM(DN59:DN63)</f>
        <v>50669.86</v>
      </c>
      <c r="DO64" s="104">
        <f t="shared" ref="DO64:DY64" si="331">SUM(DO59:DO63)</f>
        <v>45685.670000000006</v>
      </c>
      <c r="DP64" s="104">
        <f t="shared" si="331"/>
        <v>45833.26</v>
      </c>
      <c r="DQ64" s="104">
        <f t="shared" si="331"/>
        <v>57572.67</v>
      </c>
      <c r="DR64" s="104">
        <f t="shared" si="331"/>
        <v>12886.020000000004</v>
      </c>
      <c r="DS64" s="104">
        <f t="shared" si="331"/>
        <v>-9443.1999999999971</v>
      </c>
      <c r="DT64" s="104">
        <f t="shared" si="331"/>
        <v>-15137.05</v>
      </c>
      <c r="DU64" s="104">
        <f t="shared" si="331"/>
        <v>24453.760000000002</v>
      </c>
      <c r="DV64" s="104">
        <f t="shared" si="331"/>
        <v>21972.78</v>
      </c>
      <c r="DW64" s="104">
        <f t="shared" si="331"/>
        <v>25697.582589999998</v>
      </c>
      <c r="DX64" s="104">
        <f t="shared" si="331"/>
        <v>18817.21</v>
      </c>
      <c r="DY64" s="106">
        <f t="shared" si="331"/>
        <v>0</v>
      </c>
    </row>
    <row r="65" spans="1:129" x14ac:dyDescent="0.25">
      <c r="A65" s="189" t="s">
        <v>40</v>
      </c>
      <c r="B65" s="168"/>
      <c r="C65" s="104"/>
      <c r="D65" s="104"/>
      <c r="E65" s="104"/>
      <c r="F65" s="104"/>
      <c r="G65" s="104"/>
      <c r="H65" s="104"/>
      <c r="I65" s="104"/>
      <c r="J65" s="104"/>
      <c r="K65" s="104"/>
      <c r="L65" s="168"/>
      <c r="M65" s="104"/>
      <c r="N65" s="104"/>
      <c r="O65" s="104"/>
      <c r="P65" s="104"/>
      <c r="Q65" s="104"/>
      <c r="R65" s="104"/>
      <c r="S65" s="104"/>
      <c r="T65" s="104"/>
      <c r="U65" s="104"/>
      <c r="V65" s="104"/>
      <c r="W65" s="104"/>
      <c r="X65" s="168"/>
      <c r="Y65" s="104"/>
      <c r="Z65" s="104"/>
      <c r="AA65" s="104"/>
      <c r="AB65" s="104"/>
      <c r="AC65" s="104"/>
      <c r="AD65" s="104"/>
      <c r="AE65" s="104"/>
      <c r="AF65" s="104"/>
      <c r="AG65" s="106"/>
      <c r="AH65" s="168"/>
      <c r="AI65" s="104"/>
      <c r="AJ65" s="104"/>
      <c r="AK65" s="104"/>
      <c r="AL65" s="104"/>
      <c r="AM65" s="104"/>
      <c r="AN65" s="104"/>
      <c r="AO65" s="104"/>
      <c r="AP65" s="104"/>
      <c r="AQ65" s="104"/>
      <c r="AR65" s="104"/>
      <c r="AS65" s="106"/>
      <c r="AT65" s="168"/>
      <c r="AU65" s="104"/>
      <c r="AV65" s="104"/>
      <c r="AW65" s="104"/>
      <c r="AX65" s="104"/>
      <c r="AY65" s="104"/>
      <c r="AZ65" s="104"/>
      <c r="BA65" s="104"/>
      <c r="BB65" s="104"/>
      <c r="BC65" s="104"/>
      <c r="BD65" s="104"/>
      <c r="BE65" s="106"/>
      <c r="BF65" s="168"/>
      <c r="BG65" s="104"/>
      <c r="BH65" s="104"/>
      <c r="BI65" s="104"/>
      <c r="BJ65" s="104"/>
      <c r="BK65" s="104"/>
      <c r="BL65" s="104"/>
      <c r="BM65" s="104"/>
      <c r="BN65" s="104"/>
      <c r="BO65" s="104"/>
      <c r="BP65" s="104"/>
      <c r="BQ65" s="106"/>
      <c r="BR65" s="168"/>
      <c r="BS65" s="104"/>
      <c r="BT65" s="104"/>
      <c r="BU65" s="104"/>
      <c r="BV65" s="104"/>
      <c r="BW65" s="104"/>
      <c r="BX65" s="104"/>
      <c r="BY65" s="104"/>
      <c r="BZ65" s="104"/>
      <c r="CA65" s="104"/>
      <c r="CB65" s="104"/>
      <c r="CC65" s="106"/>
      <c r="CD65" s="168"/>
      <c r="CE65" s="104"/>
      <c r="CF65" s="104"/>
      <c r="CG65" s="104"/>
      <c r="CH65" s="104"/>
      <c r="CI65" s="104"/>
      <c r="CJ65" s="104"/>
      <c r="CK65" s="104"/>
      <c r="CL65" s="104"/>
      <c r="CM65" s="104"/>
      <c r="CN65" s="104"/>
      <c r="CO65" s="106"/>
      <c r="CP65" s="104"/>
      <c r="CQ65" s="104"/>
      <c r="CR65" s="104"/>
      <c r="CS65" s="104"/>
      <c r="CT65" s="104"/>
      <c r="CU65" s="104"/>
      <c r="CV65" s="104"/>
      <c r="CW65" s="104"/>
      <c r="CX65" s="104"/>
      <c r="CY65" s="104"/>
      <c r="CZ65" s="104"/>
      <c r="DA65" s="106"/>
      <c r="DB65" s="168"/>
      <c r="DC65" s="104"/>
      <c r="DD65" s="104"/>
      <c r="DE65" s="104"/>
      <c r="DF65" s="104"/>
      <c r="DG65" s="104"/>
      <c r="DH65" s="104"/>
      <c r="DI65" s="104"/>
      <c r="DJ65" s="104"/>
      <c r="DK65" s="104"/>
      <c r="DL65" s="104"/>
      <c r="DM65" s="106"/>
      <c r="DN65" s="104"/>
      <c r="DO65" s="104"/>
      <c r="DP65" s="104"/>
      <c r="DQ65" s="104"/>
      <c r="DR65" s="104"/>
      <c r="DS65" s="104"/>
      <c r="DT65" s="104"/>
      <c r="DU65" s="104"/>
      <c r="DV65" s="104"/>
      <c r="DW65" s="104"/>
      <c r="DX65" s="104"/>
      <c r="DY65" s="106"/>
    </row>
    <row r="66" spans="1:129" x14ac:dyDescent="0.25">
      <c r="A66" s="188" t="s">
        <v>34</v>
      </c>
      <c r="B66" s="168">
        <v>147639.79</v>
      </c>
      <c r="C66" s="104">
        <v>50446.73</v>
      </c>
      <c r="D66" s="104">
        <v>100138.32</v>
      </c>
      <c r="E66" s="104">
        <v>37719.61</v>
      </c>
      <c r="F66" s="104">
        <v>28139.1</v>
      </c>
      <c r="G66" s="104">
        <v>16155.05</v>
      </c>
      <c r="H66" s="104">
        <v>1669.31</v>
      </c>
      <c r="I66" s="104">
        <v>4787.46</v>
      </c>
      <c r="J66" s="104">
        <v>412.51</v>
      </c>
      <c r="K66" s="104">
        <v>28313.79</v>
      </c>
      <c r="L66" s="168">
        <v>37734.400000000001</v>
      </c>
      <c r="M66" s="104">
        <v>9333.43</v>
      </c>
      <c r="N66" s="104">
        <v>79581.62</v>
      </c>
      <c r="O66" s="104">
        <v>36807.660000000003</v>
      </c>
      <c r="P66" s="104">
        <v>83810.38</v>
      </c>
      <c r="Q66" s="104">
        <v>55880.82</v>
      </c>
      <c r="R66" s="104">
        <v>52550.21</v>
      </c>
      <c r="S66" s="104">
        <v>42033.49</v>
      </c>
      <c r="T66" s="104">
        <v>21953.57</v>
      </c>
      <c r="U66" s="104">
        <v>23263.96</v>
      </c>
      <c r="V66" s="104">
        <v>18625.73</v>
      </c>
      <c r="W66" s="104">
        <v>51040.62</v>
      </c>
      <c r="X66" s="168">
        <f t="shared" ref="X66:AG70" si="332">B66-N66</f>
        <v>68058.170000000013</v>
      </c>
      <c r="Y66" s="104">
        <f t="shared" si="332"/>
        <v>13639.07</v>
      </c>
      <c r="Z66" s="104">
        <f t="shared" si="332"/>
        <v>16327.940000000002</v>
      </c>
      <c r="AA66" s="104">
        <f t="shared" si="332"/>
        <v>-18161.21</v>
      </c>
      <c r="AB66" s="104">
        <f t="shared" si="332"/>
        <v>-24411.11</v>
      </c>
      <c r="AC66" s="104">
        <f t="shared" si="332"/>
        <v>-25878.44</v>
      </c>
      <c r="AD66" s="104">
        <f t="shared" si="332"/>
        <v>-20284.259999999998</v>
      </c>
      <c r="AE66" s="104">
        <f t="shared" si="332"/>
        <v>-18476.5</v>
      </c>
      <c r="AF66" s="104">
        <f t="shared" si="332"/>
        <v>-18213.22</v>
      </c>
      <c r="AG66" s="106">
        <f t="shared" si="332"/>
        <v>-22726.83</v>
      </c>
      <c r="AH66" s="168">
        <v>88162.03</v>
      </c>
      <c r="AI66" s="104">
        <v>56189.45</v>
      </c>
      <c r="AJ66" s="104">
        <v>148608.04999999999</v>
      </c>
      <c r="AK66" s="104">
        <v>58625.440000000002</v>
      </c>
      <c r="AL66" s="104">
        <v>87387.42</v>
      </c>
      <c r="AM66" s="104">
        <f>SUM(AM45,AM52,AM59)</f>
        <v>90192.47</v>
      </c>
      <c r="AN66" s="104">
        <v>35482.800000000003</v>
      </c>
      <c r="AO66" s="104">
        <v>32738.01</v>
      </c>
      <c r="AP66" s="104">
        <v>-7.69</v>
      </c>
      <c r="AQ66" s="104">
        <v>317.06</v>
      </c>
      <c r="AR66" s="104">
        <v>-875.88</v>
      </c>
      <c r="AS66" s="106">
        <v>44040.45</v>
      </c>
      <c r="AT66" s="168">
        <f>L66-AH66</f>
        <v>-50427.63</v>
      </c>
      <c r="AU66" s="104">
        <f t="shared" ref="AU66:BE70" si="333">M66-AI66</f>
        <v>-46856.02</v>
      </c>
      <c r="AV66" s="104">
        <f t="shared" si="333"/>
        <v>-69026.429999999993</v>
      </c>
      <c r="AW66" s="104">
        <f t="shared" si="333"/>
        <v>-21817.78</v>
      </c>
      <c r="AX66" s="104">
        <f t="shared" si="333"/>
        <v>-3577.0399999999936</v>
      </c>
      <c r="AY66" s="104">
        <f t="shared" si="333"/>
        <v>-34311.65</v>
      </c>
      <c r="AZ66" s="104">
        <f t="shared" si="333"/>
        <v>17067.409999999996</v>
      </c>
      <c r="BA66" s="104">
        <f t="shared" si="333"/>
        <v>9295.48</v>
      </c>
      <c r="BB66" s="104">
        <f t="shared" si="333"/>
        <v>21961.26</v>
      </c>
      <c r="BC66" s="104">
        <f t="shared" si="333"/>
        <v>22946.899999999998</v>
      </c>
      <c r="BD66" s="104">
        <f t="shared" si="333"/>
        <v>19501.61</v>
      </c>
      <c r="BE66" s="106">
        <f t="shared" si="333"/>
        <v>7000.1700000000055</v>
      </c>
      <c r="BF66" s="168">
        <f>SUM(BF45+BF52+BF59)</f>
        <v>68174.990000000005</v>
      </c>
      <c r="BG66" s="104">
        <f>SUM(BG45+BG52+BG59)</f>
        <v>28725.62</v>
      </c>
      <c r="BH66" s="104">
        <f>SUM(BH45+BH52+BH59)</f>
        <v>162687.84999999998</v>
      </c>
      <c r="BI66" s="104">
        <f>SUM(BI45+BI52+BI59)</f>
        <v>71694.69</v>
      </c>
      <c r="BJ66" s="104">
        <v>135360.25</v>
      </c>
      <c r="BK66" s="104">
        <v>57146.16</v>
      </c>
      <c r="BL66" s="104">
        <v>54117.39</v>
      </c>
      <c r="BM66" s="104">
        <v>34245.93</v>
      </c>
      <c r="BN66" s="104">
        <v>-5378.23</v>
      </c>
      <c r="BO66" s="104">
        <v>-1413.62</v>
      </c>
      <c r="BP66" s="104">
        <v>-8079.56</v>
      </c>
      <c r="BQ66" s="106">
        <v>70534.37</v>
      </c>
      <c r="BR66" s="168">
        <f t="shared" ref="BR66:BR70" si="334">AH66-BF66</f>
        <v>19987.039999999994</v>
      </c>
      <c r="BS66" s="104">
        <f t="shared" ref="BS66:BS70" si="335">AI66-BG66</f>
        <v>27463.829999999998</v>
      </c>
      <c r="BT66" s="104">
        <f t="shared" ref="BT66:BT70" si="336">AJ66-BH66</f>
        <v>-14079.799999999988</v>
      </c>
      <c r="BU66" s="104">
        <f t="shared" ref="BU66:BU70" si="337">AK66-BI66</f>
        <v>-13069.25</v>
      </c>
      <c r="BV66" s="104">
        <f t="shared" ref="BV66:BV70" si="338">AL66-BJ66</f>
        <v>-47972.83</v>
      </c>
      <c r="BW66" s="104">
        <f t="shared" ref="BW66:BW70" si="339">AM66-BK66</f>
        <v>33046.31</v>
      </c>
      <c r="BX66" s="104">
        <f t="shared" ref="BX66:BX70" si="340">AN66-BL66</f>
        <v>-18634.589999999997</v>
      </c>
      <c r="BY66" s="104">
        <f t="shared" ref="BY66:BY70" si="341">AO66-BM66</f>
        <v>-1507.9200000000019</v>
      </c>
      <c r="BZ66" s="104">
        <f t="shared" ref="BZ66:BZ70" si="342">AP66-BN66</f>
        <v>5370.54</v>
      </c>
      <c r="CA66" s="104">
        <f t="shared" ref="CA66:CA70" si="343">AQ66-BO66</f>
        <v>1730.6799999999998</v>
      </c>
      <c r="CB66" s="104">
        <f t="shared" ref="CB66:CB70" si="344">AR66-BP66</f>
        <v>7203.68</v>
      </c>
      <c r="CC66" s="106">
        <f t="shared" ref="CC66:CC70" si="345">AS66-BQ66</f>
        <v>-26493.919999999998</v>
      </c>
      <c r="CD66" s="168">
        <f t="shared" ref="CD66:CL68" si="346">CD45+CD52+CD59</f>
        <v>101495.84000000001</v>
      </c>
      <c r="CE66" s="104">
        <f t="shared" si="346"/>
        <v>37130.649999999994</v>
      </c>
      <c r="CF66" s="104">
        <f t="shared" si="346"/>
        <v>135843.15000000002</v>
      </c>
      <c r="CG66" s="104">
        <f t="shared" si="346"/>
        <v>80027.609999999986</v>
      </c>
      <c r="CH66" s="104">
        <f t="shared" si="346"/>
        <v>121506.78</v>
      </c>
      <c r="CI66" s="104">
        <f t="shared" si="346"/>
        <v>64730.3</v>
      </c>
      <c r="CJ66" s="104">
        <f t="shared" si="346"/>
        <v>72815.450000000012</v>
      </c>
      <c r="CK66" s="104">
        <f t="shared" si="346"/>
        <v>18188.599999999999</v>
      </c>
      <c r="CL66" s="104">
        <f t="shared" si="346"/>
        <v>11156.990000000002</v>
      </c>
      <c r="CM66" s="104">
        <v>0</v>
      </c>
      <c r="CN66" s="104">
        <f>43600.58+2832.8</f>
        <v>46433.380000000005</v>
      </c>
      <c r="CO66" s="106">
        <v>39105.93</v>
      </c>
      <c r="CP66" s="104">
        <f t="shared" ref="CP66:DA71" si="347">CD66-BF66</f>
        <v>33320.850000000006</v>
      </c>
      <c r="CQ66" s="104">
        <f t="shared" si="347"/>
        <v>8405.0299999999952</v>
      </c>
      <c r="CR66" s="104">
        <f t="shared" si="347"/>
        <v>-26844.699999999953</v>
      </c>
      <c r="CS66" s="104">
        <f t="shared" si="347"/>
        <v>8332.9199999999837</v>
      </c>
      <c r="CT66" s="104">
        <f t="shared" si="347"/>
        <v>-13853.470000000001</v>
      </c>
      <c r="CU66" s="104">
        <f t="shared" si="347"/>
        <v>7584.1399999999994</v>
      </c>
      <c r="CV66" s="104">
        <f t="shared" si="347"/>
        <v>18698.060000000012</v>
      </c>
      <c r="CW66" s="104">
        <f t="shared" si="347"/>
        <v>-16057.330000000002</v>
      </c>
      <c r="CX66" s="104">
        <f t="shared" si="347"/>
        <v>16535.22</v>
      </c>
      <c r="CY66" s="104">
        <f t="shared" si="347"/>
        <v>1413.62</v>
      </c>
      <c r="CZ66" s="104">
        <f t="shared" si="347"/>
        <v>54512.94</v>
      </c>
      <c r="DA66" s="106">
        <f t="shared" si="347"/>
        <v>-31428.439999999995</v>
      </c>
      <c r="DB66" s="168">
        <f>DB45+DB52+DB59</f>
        <v>35892.25</v>
      </c>
      <c r="DC66" s="168">
        <f t="shared" ref="DC66:DI66" si="348">DC45+DC52+DC59</f>
        <v>84450.07</v>
      </c>
      <c r="DD66" s="168">
        <f t="shared" si="348"/>
        <v>84234.23</v>
      </c>
      <c r="DE66" s="168">
        <f t="shared" si="348"/>
        <v>80398.929999999993</v>
      </c>
      <c r="DF66" s="168">
        <f t="shared" si="348"/>
        <v>63339.020000000004</v>
      </c>
      <c r="DG66" s="168">
        <v>41935.300000000003</v>
      </c>
      <c r="DH66" s="168">
        <f t="shared" si="348"/>
        <v>32306.39</v>
      </c>
      <c r="DI66" s="168">
        <f t="shared" si="348"/>
        <v>21565.57</v>
      </c>
      <c r="DJ66" s="168">
        <f>DJ45+DJ52+DJ59</f>
        <v>21412.440000000002</v>
      </c>
      <c r="DK66" s="168">
        <v>18153</v>
      </c>
      <c r="DL66" s="168">
        <v>19403</v>
      </c>
      <c r="DM66" s="168"/>
      <c r="DN66" s="104">
        <f>DB66-CD66</f>
        <v>-65603.590000000011</v>
      </c>
      <c r="DO66" s="104">
        <f t="shared" ref="DO66:DY70" si="349">DC66-CE66</f>
        <v>47319.420000000013</v>
      </c>
      <c r="DP66" s="104">
        <f t="shared" si="349"/>
        <v>-51608.920000000027</v>
      </c>
      <c r="DQ66" s="104">
        <f t="shared" si="349"/>
        <v>371.32000000000698</v>
      </c>
      <c r="DR66" s="104">
        <f t="shared" si="349"/>
        <v>-58167.759999999995</v>
      </c>
      <c r="DS66" s="104">
        <f t="shared" si="349"/>
        <v>-22795</v>
      </c>
      <c r="DT66" s="104">
        <f t="shared" si="349"/>
        <v>-40509.060000000012</v>
      </c>
      <c r="DU66" s="104">
        <f t="shared" si="349"/>
        <v>3376.9700000000012</v>
      </c>
      <c r="DV66" s="104">
        <f t="shared" si="349"/>
        <v>10255.450000000001</v>
      </c>
      <c r="DW66" s="104">
        <f t="shared" si="349"/>
        <v>18153</v>
      </c>
      <c r="DX66" s="104">
        <f t="shared" si="349"/>
        <v>-27030.380000000005</v>
      </c>
      <c r="DY66" s="106">
        <f t="shared" si="349"/>
        <v>-39105.93</v>
      </c>
    </row>
    <row r="67" spans="1:129" x14ac:dyDescent="0.25">
      <c r="A67" s="188" t="s">
        <v>35</v>
      </c>
      <c r="B67" s="168">
        <v>15234.65</v>
      </c>
      <c r="C67" s="104">
        <v>2199.38</v>
      </c>
      <c r="D67" s="104">
        <v>1398.46</v>
      </c>
      <c r="E67" s="104">
        <v>-3308.27</v>
      </c>
      <c r="F67" s="104">
        <v>-4629.87</v>
      </c>
      <c r="G67" s="104">
        <v>-5291.7</v>
      </c>
      <c r="H67" s="104">
        <v>-5288.9</v>
      </c>
      <c r="I67" s="104">
        <v>-3771.79</v>
      </c>
      <c r="J67" s="104">
        <v>-2991.12</v>
      </c>
      <c r="K67" s="104">
        <v>3761.68</v>
      </c>
      <c r="L67" s="168">
        <v>7936.96</v>
      </c>
      <c r="M67" s="104">
        <v>1247.21</v>
      </c>
      <c r="N67" s="104">
        <v>4319.03</v>
      </c>
      <c r="O67" s="104">
        <v>1848.27</v>
      </c>
      <c r="P67" s="104">
        <v>5341.64</v>
      </c>
      <c r="Q67" s="104">
        <v>4213.25</v>
      </c>
      <c r="R67" s="104">
        <v>5399.06</v>
      </c>
      <c r="S67" s="104">
        <v>1990.12</v>
      </c>
      <c r="T67" s="104">
        <v>259.23</v>
      </c>
      <c r="U67" s="104">
        <v>1841.57</v>
      </c>
      <c r="V67" s="104">
        <v>2278.35</v>
      </c>
      <c r="W67" s="104">
        <v>7957.3</v>
      </c>
      <c r="X67" s="168">
        <f t="shared" si="332"/>
        <v>10915.619999999999</v>
      </c>
      <c r="Y67" s="104">
        <f t="shared" si="332"/>
        <v>351.11000000000013</v>
      </c>
      <c r="Z67" s="104">
        <f t="shared" si="332"/>
        <v>-3943.1800000000003</v>
      </c>
      <c r="AA67" s="104">
        <f t="shared" si="332"/>
        <v>-7521.52</v>
      </c>
      <c r="AB67" s="104">
        <f t="shared" si="332"/>
        <v>-10028.93</v>
      </c>
      <c r="AC67" s="104">
        <f t="shared" si="332"/>
        <v>-7281.82</v>
      </c>
      <c r="AD67" s="104">
        <f t="shared" si="332"/>
        <v>-5548.1299999999992</v>
      </c>
      <c r="AE67" s="104">
        <f t="shared" si="332"/>
        <v>-5613.36</v>
      </c>
      <c r="AF67" s="104">
        <f t="shared" si="332"/>
        <v>-5269.4699999999993</v>
      </c>
      <c r="AG67" s="106">
        <f t="shared" si="332"/>
        <v>-4195.6200000000008</v>
      </c>
      <c r="AH67" s="168">
        <v>16017.82</v>
      </c>
      <c r="AI67" s="104">
        <v>14534.85</v>
      </c>
      <c r="AJ67" s="104">
        <v>17680.77</v>
      </c>
      <c r="AK67" s="104">
        <v>3230.09</v>
      </c>
      <c r="AL67" s="104">
        <v>4146.55</v>
      </c>
      <c r="AM67" s="104">
        <f>SUM(AM46,AM53,AM60)</f>
        <v>-3428.55</v>
      </c>
      <c r="AN67" s="104">
        <v>230.43</v>
      </c>
      <c r="AO67" s="104">
        <v>-2538.7199999999998</v>
      </c>
      <c r="AP67" s="104">
        <v>-6785.89</v>
      </c>
      <c r="AQ67" s="104">
        <v>-5353.91</v>
      </c>
      <c r="AR67" s="104">
        <v>-1099.6300000000001</v>
      </c>
      <c r="AS67" s="106">
        <v>979.68</v>
      </c>
      <c r="AT67" s="168">
        <f t="shared" ref="AT67:AT70" si="350">L67-AH67</f>
        <v>-8080.86</v>
      </c>
      <c r="AU67" s="104">
        <f t="shared" si="333"/>
        <v>-13287.64</v>
      </c>
      <c r="AV67" s="104">
        <f t="shared" si="333"/>
        <v>-13361.740000000002</v>
      </c>
      <c r="AW67" s="104">
        <f t="shared" si="333"/>
        <v>-1381.8200000000002</v>
      </c>
      <c r="AX67" s="104">
        <f t="shared" si="333"/>
        <v>1195.0900000000001</v>
      </c>
      <c r="AY67" s="104">
        <f t="shared" si="333"/>
        <v>7641.8</v>
      </c>
      <c r="AZ67" s="104">
        <f t="shared" si="333"/>
        <v>5168.63</v>
      </c>
      <c r="BA67" s="104">
        <f t="shared" si="333"/>
        <v>4528.84</v>
      </c>
      <c r="BB67" s="104">
        <f t="shared" si="333"/>
        <v>7045.1200000000008</v>
      </c>
      <c r="BC67" s="104">
        <f t="shared" si="333"/>
        <v>7195.48</v>
      </c>
      <c r="BD67" s="104">
        <f t="shared" si="333"/>
        <v>3377.98</v>
      </c>
      <c r="BE67" s="106">
        <f t="shared" si="333"/>
        <v>6977.62</v>
      </c>
      <c r="BF67" s="168">
        <f t="shared" ref="BF67:BI68" si="351">SUM(BF46+BF53+BF60)</f>
        <v>83.299999999999727</v>
      </c>
      <c r="BG67" s="104">
        <f t="shared" si="351"/>
        <v>524.13000000000011</v>
      </c>
      <c r="BH67" s="104">
        <f t="shared" si="351"/>
        <v>10911.78</v>
      </c>
      <c r="BI67" s="104">
        <f t="shared" si="351"/>
        <v>12371.009999999998</v>
      </c>
      <c r="BJ67" s="104">
        <v>14547.61</v>
      </c>
      <c r="BK67" s="104">
        <v>-8907.94</v>
      </c>
      <c r="BL67" s="104">
        <v>-14965.54</v>
      </c>
      <c r="BM67" s="104">
        <v>-21558.43</v>
      </c>
      <c r="BN67" s="104">
        <v>-26110.1</v>
      </c>
      <c r="BO67" s="104">
        <v>-26409.77</v>
      </c>
      <c r="BP67" s="104">
        <v>-14568.76</v>
      </c>
      <c r="BQ67" s="106">
        <v>-2429.92</v>
      </c>
      <c r="BR67" s="168">
        <f t="shared" si="334"/>
        <v>15934.52</v>
      </c>
      <c r="BS67" s="104">
        <f t="shared" si="335"/>
        <v>14010.720000000001</v>
      </c>
      <c r="BT67" s="104">
        <f t="shared" si="336"/>
        <v>6768.99</v>
      </c>
      <c r="BU67" s="104">
        <f t="shared" si="337"/>
        <v>-9140.9199999999983</v>
      </c>
      <c r="BV67" s="104">
        <f t="shared" si="338"/>
        <v>-10401.060000000001</v>
      </c>
      <c r="BW67" s="104">
        <f t="shared" si="339"/>
        <v>5479.39</v>
      </c>
      <c r="BX67" s="104">
        <f t="shared" si="340"/>
        <v>15195.970000000001</v>
      </c>
      <c r="BY67" s="104">
        <f t="shared" si="341"/>
        <v>19019.71</v>
      </c>
      <c r="BZ67" s="104">
        <f t="shared" si="342"/>
        <v>19324.21</v>
      </c>
      <c r="CA67" s="104">
        <f t="shared" si="343"/>
        <v>21055.86</v>
      </c>
      <c r="CB67" s="104">
        <f t="shared" si="344"/>
        <v>13469.130000000001</v>
      </c>
      <c r="CC67" s="106">
        <f t="shared" si="345"/>
        <v>3409.6</v>
      </c>
      <c r="CD67" s="168">
        <f t="shared" si="346"/>
        <v>10436.59</v>
      </c>
      <c r="CE67" s="104">
        <f t="shared" si="346"/>
        <v>5165.46</v>
      </c>
      <c r="CF67" s="104">
        <f t="shared" si="346"/>
        <v>13255.7</v>
      </c>
      <c r="CG67" s="104">
        <f t="shared" si="346"/>
        <v>5440.73</v>
      </c>
      <c r="CH67" s="104">
        <v>4176.3999999999996</v>
      </c>
      <c r="CI67" s="104">
        <v>-17.8700000000008</v>
      </c>
      <c r="CJ67" s="104">
        <v>-3739.54</v>
      </c>
      <c r="CK67" s="104">
        <v>-6675.71</v>
      </c>
      <c r="CL67" s="104">
        <v>-11101.81</v>
      </c>
      <c r="CM67" s="104">
        <v>0</v>
      </c>
      <c r="CN67" s="104">
        <v>12014.56</v>
      </c>
      <c r="CO67" s="106">
        <v>10995.11</v>
      </c>
      <c r="CP67" s="104">
        <f t="shared" si="347"/>
        <v>10353.290000000001</v>
      </c>
      <c r="CQ67" s="104">
        <f t="shared" si="347"/>
        <v>4641.33</v>
      </c>
      <c r="CR67" s="104">
        <f t="shared" si="347"/>
        <v>2343.92</v>
      </c>
      <c r="CS67" s="104">
        <f t="shared" si="347"/>
        <v>-6930.2799999999988</v>
      </c>
      <c r="CT67" s="104">
        <f t="shared" si="347"/>
        <v>-10371.210000000001</v>
      </c>
      <c r="CU67" s="104">
        <f t="shared" si="347"/>
        <v>8890.07</v>
      </c>
      <c r="CV67" s="104">
        <f t="shared" si="347"/>
        <v>11226</v>
      </c>
      <c r="CW67" s="104">
        <f t="shared" si="347"/>
        <v>14882.720000000001</v>
      </c>
      <c r="CX67" s="104">
        <f t="shared" si="347"/>
        <v>15008.289999999999</v>
      </c>
      <c r="CY67" s="104">
        <f t="shared" si="347"/>
        <v>26409.77</v>
      </c>
      <c r="CZ67" s="104">
        <f t="shared" si="347"/>
        <v>26583.32</v>
      </c>
      <c r="DA67" s="106">
        <f t="shared" si="347"/>
        <v>13425.03</v>
      </c>
      <c r="DB67" s="168">
        <f>DB46+DB53+DB60</f>
        <v>20010.059999999998</v>
      </c>
      <c r="DC67" s="168">
        <f t="shared" ref="DC67:DI67" si="352">DC46+DC53+DC60</f>
        <v>34175.269999999997</v>
      </c>
      <c r="DD67" s="168">
        <f t="shared" si="352"/>
        <v>36539.539999999994</v>
      </c>
      <c r="DE67" s="168">
        <f t="shared" si="352"/>
        <v>41401.22</v>
      </c>
      <c r="DF67" s="168">
        <f t="shared" si="352"/>
        <v>34329.18</v>
      </c>
      <c r="DG67" s="168">
        <v>32050.32</v>
      </c>
      <c r="DH67" s="168">
        <f t="shared" si="352"/>
        <v>25165.29</v>
      </c>
      <c r="DI67" s="168">
        <f t="shared" si="352"/>
        <v>14615.2</v>
      </c>
      <c r="DJ67" s="168">
        <f t="shared" ref="DJ67" si="353">DJ46+DJ53+DJ60</f>
        <v>14615.2</v>
      </c>
      <c r="DK67" s="168">
        <v>14058</v>
      </c>
      <c r="DL67" s="168">
        <v>7269</v>
      </c>
      <c r="DM67" s="168"/>
      <c r="DN67" s="104">
        <f t="shared" ref="DN67:DN70" si="354">DB67-CD67</f>
        <v>9573.4699999999975</v>
      </c>
      <c r="DO67" s="104">
        <f t="shared" si="349"/>
        <v>29009.809999999998</v>
      </c>
      <c r="DP67" s="104">
        <f t="shared" si="349"/>
        <v>23283.839999999993</v>
      </c>
      <c r="DQ67" s="104">
        <f t="shared" si="349"/>
        <v>35960.490000000005</v>
      </c>
      <c r="DR67" s="104">
        <f t="shared" si="349"/>
        <v>30152.78</v>
      </c>
      <c r="DS67" s="104">
        <f t="shared" si="349"/>
        <v>32068.190000000002</v>
      </c>
      <c r="DT67" s="104">
        <f t="shared" si="349"/>
        <v>28904.83</v>
      </c>
      <c r="DU67" s="104">
        <f t="shared" si="349"/>
        <v>21290.91</v>
      </c>
      <c r="DV67" s="104">
        <f t="shared" si="349"/>
        <v>25717.010000000002</v>
      </c>
      <c r="DW67" s="104">
        <f t="shared" si="349"/>
        <v>14058</v>
      </c>
      <c r="DX67" s="104">
        <f t="shared" si="349"/>
        <v>-4745.5599999999995</v>
      </c>
      <c r="DY67" s="106">
        <f t="shared" si="349"/>
        <v>-10995.11</v>
      </c>
    </row>
    <row r="68" spans="1:129" x14ac:dyDescent="0.25">
      <c r="A68" s="188" t="s">
        <v>36</v>
      </c>
      <c r="B68" s="168">
        <v>11692.34</v>
      </c>
      <c r="C68" s="104">
        <v>2846.31</v>
      </c>
      <c r="D68" s="104">
        <v>6735.68</v>
      </c>
      <c r="E68" s="104">
        <v>1512.67</v>
      </c>
      <c r="F68" s="104">
        <v>2228.2800000000002</v>
      </c>
      <c r="G68" s="104">
        <v>2575.31</v>
      </c>
      <c r="H68" s="104">
        <v>-7566.37</v>
      </c>
      <c r="I68" s="104">
        <v>-3461.79</v>
      </c>
      <c r="J68" s="104">
        <v>-4739.74</v>
      </c>
      <c r="K68" s="104">
        <v>1222.1600000000001</v>
      </c>
      <c r="L68" s="168">
        <v>8359.98</v>
      </c>
      <c r="M68" s="104">
        <v>-3679.27</v>
      </c>
      <c r="N68" s="104">
        <v>5419.03</v>
      </c>
      <c r="O68" s="104">
        <v>-388.65</v>
      </c>
      <c r="P68" s="104">
        <v>11453.58</v>
      </c>
      <c r="Q68" s="104">
        <v>5136.1000000000004</v>
      </c>
      <c r="R68" s="104">
        <v>1721.52</v>
      </c>
      <c r="S68" s="104">
        <v>1889.44</v>
      </c>
      <c r="T68" s="104">
        <v>-2537.4499999999998</v>
      </c>
      <c r="U68" s="104">
        <v>2827.3</v>
      </c>
      <c r="V68" s="104">
        <v>-3947.53</v>
      </c>
      <c r="W68" s="104">
        <v>1193.8699999999999</v>
      </c>
      <c r="X68" s="168">
        <f t="shared" si="332"/>
        <v>6273.31</v>
      </c>
      <c r="Y68" s="104">
        <f t="shared" si="332"/>
        <v>3234.96</v>
      </c>
      <c r="Z68" s="104">
        <f t="shared" si="332"/>
        <v>-4717.8999999999996</v>
      </c>
      <c r="AA68" s="104">
        <f t="shared" si="332"/>
        <v>-3623.4300000000003</v>
      </c>
      <c r="AB68" s="104">
        <f t="shared" si="332"/>
        <v>506.76000000000022</v>
      </c>
      <c r="AC68" s="104">
        <f t="shared" si="332"/>
        <v>685.86999999999989</v>
      </c>
      <c r="AD68" s="104">
        <f t="shared" si="332"/>
        <v>-5028.92</v>
      </c>
      <c r="AE68" s="104">
        <f t="shared" si="332"/>
        <v>-6289.09</v>
      </c>
      <c r="AF68" s="104">
        <f t="shared" si="332"/>
        <v>-792.20999999999958</v>
      </c>
      <c r="AG68" s="106">
        <f t="shared" si="332"/>
        <v>28.290000000000191</v>
      </c>
      <c r="AH68" s="168">
        <v>14522.41</v>
      </c>
      <c r="AI68" s="104">
        <v>-1308.1099999999999</v>
      </c>
      <c r="AJ68" s="104">
        <v>28217.23</v>
      </c>
      <c r="AK68" s="104">
        <v>7450.49</v>
      </c>
      <c r="AL68" s="104">
        <v>-5922.68</v>
      </c>
      <c r="AM68" s="104">
        <f>SUM(AM47,AM54,AM61)</f>
        <v>-4597.59</v>
      </c>
      <c r="AN68" s="104">
        <v>-7248.49</v>
      </c>
      <c r="AO68" s="104">
        <v>-5378.28</v>
      </c>
      <c r="AP68" s="104">
        <v>-6769.15</v>
      </c>
      <c r="AQ68" s="104">
        <v>-4835.5</v>
      </c>
      <c r="AR68" s="104">
        <v>-5388.62</v>
      </c>
      <c r="AS68" s="106">
        <v>27233.84</v>
      </c>
      <c r="AT68" s="168">
        <f t="shared" si="350"/>
        <v>-6162.43</v>
      </c>
      <c r="AU68" s="104">
        <f t="shared" si="333"/>
        <v>-2371.16</v>
      </c>
      <c r="AV68" s="104">
        <f t="shared" si="333"/>
        <v>-22798.2</v>
      </c>
      <c r="AW68" s="104">
        <f t="shared" si="333"/>
        <v>-7839.1399999999994</v>
      </c>
      <c r="AX68" s="104">
        <f t="shared" si="333"/>
        <v>17376.260000000002</v>
      </c>
      <c r="AY68" s="104">
        <f t="shared" si="333"/>
        <v>9733.69</v>
      </c>
      <c r="AZ68" s="104">
        <f t="shared" si="333"/>
        <v>8970.01</v>
      </c>
      <c r="BA68" s="104">
        <f t="shared" si="333"/>
        <v>7267.7199999999993</v>
      </c>
      <c r="BB68" s="104">
        <f t="shared" si="333"/>
        <v>4231.7</v>
      </c>
      <c r="BC68" s="104">
        <f t="shared" si="333"/>
        <v>7662.8</v>
      </c>
      <c r="BD68" s="104">
        <f t="shared" si="333"/>
        <v>1441.0899999999997</v>
      </c>
      <c r="BE68" s="106">
        <f t="shared" si="333"/>
        <v>-26039.97</v>
      </c>
      <c r="BF68" s="168">
        <f t="shared" si="351"/>
        <v>5956.34</v>
      </c>
      <c r="BG68" s="104">
        <f t="shared" si="351"/>
        <v>-43.7199999999998</v>
      </c>
      <c r="BH68" s="104">
        <f t="shared" si="351"/>
        <v>7862.6999999999989</v>
      </c>
      <c r="BI68" s="104">
        <f t="shared" si="351"/>
        <v>-356.95999999999958</v>
      </c>
      <c r="BJ68" s="104">
        <v>31424.99</v>
      </c>
      <c r="BK68" s="104">
        <v>4083.84</v>
      </c>
      <c r="BL68" s="104">
        <v>7276.42</v>
      </c>
      <c r="BM68" s="104">
        <v>-3962.92</v>
      </c>
      <c r="BN68" s="104">
        <v>-4809.28</v>
      </c>
      <c r="BO68" s="104">
        <v>-1247.17</v>
      </c>
      <c r="BP68" s="104">
        <v>-5348.05</v>
      </c>
      <c r="BQ68" s="106">
        <v>11048.21</v>
      </c>
      <c r="BR68" s="168">
        <f t="shared" si="334"/>
        <v>8566.07</v>
      </c>
      <c r="BS68" s="104">
        <f t="shared" si="335"/>
        <v>-1264.3900000000001</v>
      </c>
      <c r="BT68" s="104">
        <f t="shared" si="336"/>
        <v>20354.53</v>
      </c>
      <c r="BU68" s="104">
        <f t="shared" si="337"/>
        <v>7807.4499999999989</v>
      </c>
      <c r="BV68" s="104">
        <f t="shared" si="338"/>
        <v>-37347.67</v>
      </c>
      <c r="BW68" s="104">
        <f t="shared" si="339"/>
        <v>-8681.43</v>
      </c>
      <c r="BX68" s="104">
        <f t="shared" si="340"/>
        <v>-14524.91</v>
      </c>
      <c r="BY68" s="104">
        <f t="shared" si="341"/>
        <v>-1415.3599999999997</v>
      </c>
      <c r="BZ68" s="104">
        <f t="shared" si="342"/>
        <v>-1959.87</v>
      </c>
      <c r="CA68" s="104">
        <f t="shared" si="343"/>
        <v>-3588.33</v>
      </c>
      <c r="CB68" s="104">
        <f t="shared" si="344"/>
        <v>-40.569999999999709</v>
      </c>
      <c r="CC68" s="106">
        <f t="shared" si="345"/>
        <v>16185.630000000001</v>
      </c>
      <c r="CD68" s="168">
        <f t="shared" si="346"/>
        <v>19992.019999999997</v>
      </c>
      <c r="CE68" s="104">
        <f t="shared" si="346"/>
        <v>1211.3800000000001</v>
      </c>
      <c r="CF68" s="104">
        <f t="shared" si="346"/>
        <v>11922.089999999998</v>
      </c>
      <c r="CG68" s="104">
        <f t="shared" si="346"/>
        <v>4894.7900000000009</v>
      </c>
      <c r="CH68" s="104">
        <v>17585.03</v>
      </c>
      <c r="CI68" s="104">
        <v>1180.92</v>
      </c>
      <c r="CJ68" s="104">
        <v>5342.13</v>
      </c>
      <c r="CK68" s="104">
        <v>15401.38</v>
      </c>
      <c r="CL68" s="104">
        <v>-4912.96</v>
      </c>
      <c r="CM68" s="104">
        <v>0</v>
      </c>
      <c r="CN68" s="104">
        <f>2264.68+1824.96</f>
        <v>4089.64</v>
      </c>
      <c r="CO68" s="106">
        <v>1472.7199999999998</v>
      </c>
      <c r="CP68" s="168">
        <f t="shared" si="347"/>
        <v>14035.679999999997</v>
      </c>
      <c r="CQ68" s="104">
        <f t="shared" si="347"/>
        <v>1255.0999999999999</v>
      </c>
      <c r="CR68" s="104">
        <f t="shared" si="347"/>
        <v>4059.3899999999994</v>
      </c>
      <c r="CS68" s="104">
        <f t="shared" si="347"/>
        <v>5251.75</v>
      </c>
      <c r="CT68" s="104">
        <f t="shared" si="347"/>
        <v>-13839.960000000003</v>
      </c>
      <c r="CU68" s="104">
        <f t="shared" si="347"/>
        <v>-2902.92</v>
      </c>
      <c r="CV68" s="104">
        <f t="shared" si="347"/>
        <v>-1934.29</v>
      </c>
      <c r="CW68" s="104">
        <f t="shared" si="347"/>
        <v>19364.3</v>
      </c>
      <c r="CX68" s="104">
        <f t="shared" si="347"/>
        <v>-103.68000000000029</v>
      </c>
      <c r="CY68" s="104">
        <f t="shared" si="347"/>
        <v>1247.17</v>
      </c>
      <c r="CZ68" s="104">
        <f t="shared" si="347"/>
        <v>9437.69</v>
      </c>
      <c r="DA68" s="106">
        <f t="shared" si="347"/>
        <v>-9575.49</v>
      </c>
      <c r="DB68" s="168">
        <f>DB47+DB54+DB61</f>
        <v>3617.51</v>
      </c>
      <c r="DC68" s="168">
        <f t="shared" ref="DC68:DI68" si="355">DC47+DC54+DC61</f>
        <v>9156.9600000000009</v>
      </c>
      <c r="DD68" s="168">
        <f t="shared" si="355"/>
        <v>11915.460000000001</v>
      </c>
      <c r="DE68" s="168">
        <f t="shared" si="355"/>
        <v>6941.09</v>
      </c>
      <c r="DF68" s="168">
        <f t="shared" si="355"/>
        <v>5244.2199999999993</v>
      </c>
      <c r="DG68" s="168">
        <v>5906.38</v>
      </c>
      <c r="DH68" s="168">
        <f t="shared" si="355"/>
        <v>6784.9299999999985</v>
      </c>
      <c r="DI68" s="168">
        <f t="shared" si="355"/>
        <v>9263.8100000000013</v>
      </c>
      <c r="DJ68" s="168">
        <f t="shared" ref="DJ68" si="356">DJ47+DJ54+DJ61</f>
        <v>8778.1</v>
      </c>
      <c r="DK68" s="168">
        <v>5350</v>
      </c>
      <c r="DL68" s="168">
        <v>6464</v>
      </c>
      <c r="DM68" s="168"/>
      <c r="DN68" s="104">
        <f t="shared" si="354"/>
        <v>-16374.509999999997</v>
      </c>
      <c r="DO68" s="104">
        <f t="shared" si="349"/>
        <v>7945.5800000000008</v>
      </c>
      <c r="DP68" s="104">
        <f t="shared" si="349"/>
        <v>-6.6299999999973807</v>
      </c>
      <c r="DQ68" s="104">
        <f t="shared" si="349"/>
        <v>2046.2999999999993</v>
      </c>
      <c r="DR68" s="104">
        <f t="shared" si="349"/>
        <v>-12340.81</v>
      </c>
      <c r="DS68" s="104">
        <f t="shared" si="349"/>
        <v>4725.46</v>
      </c>
      <c r="DT68" s="104">
        <f t="shared" si="349"/>
        <v>1442.7999999999984</v>
      </c>
      <c r="DU68" s="104">
        <f t="shared" si="349"/>
        <v>-6137.5699999999979</v>
      </c>
      <c r="DV68" s="104">
        <f t="shared" si="349"/>
        <v>13691.060000000001</v>
      </c>
      <c r="DW68" s="104">
        <f t="shared" si="349"/>
        <v>5350</v>
      </c>
      <c r="DX68" s="104">
        <f t="shared" si="349"/>
        <v>2374.36</v>
      </c>
      <c r="DY68" s="106">
        <f t="shared" si="349"/>
        <v>-1472.7199999999998</v>
      </c>
    </row>
    <row r="69" spans="1:129" x14ac:dyDescent="0.25">
      <c r="A69" s="188" t="s">
        <v>37</v>
      </c>
      <c r="B69" s="168">
        <v>0</v>
      </c>
      <c r="C69" s="104">
        <v>0</v>
      </c>
      <c r="D69" s="104">
        <v>0</v>
      </c>
      <c r="E69" s="104">
        <v>0</v>
      </c>
      <c r="F69" s="104">
        <v>0</v>
      </c>
      <c r="G69" s="104">
        <v>0</v>
      </c>
      <c r="H69" s="104">
        <v>0</v>
      </c>
      <c r="I69" s="104">
        <v>0</v>
      </c>
      <c r="J69" s="104">
        <v>0</v>
      </c>
      <c r="K69" s="104">
        <v>0</v>
      </c>
      <c r="L69" s="168">
        <v>0</v>
      </c>
      <c r="M69" s="104">
        <v>0</v>
      </c>
      <c r="N69" s="104">
        <v>0</v>
      </c>
      <c r="O69" s="104">
        <v>0</v>
      </c>
      <c r="P69" s="104">
        <v>0</v>
      </c>
      <c r="Q69" s="104">
        <v>0</v>
      </c>
      <c r="R69" s="104">
        <v>0</v>
      </c>
      <c r="S69" s="104">
        <v>0</v>
      </c>
      <c r="T69" s="104">
        <v>0</v>
      </c>
      <c r="U69" s="104">
        <v>0</v>
      </c>
      <c r="V69" s="104">
        <v>0</v>
      </c>
      <c r="W69" s="104">
        <v>0</v>
      </c>
      <c r="X69" s="168">
        <f t="shared" si="332"/>
        <v>0</v>
      </c>
      <c r="Y69" s="104">
        <f t="shared" si="332"/>
        <v>0</v>
      </c>
      <c r="Z69" s="104">
        <f t="shared" si="332"/>
        <v>0</v>
      </c>
      <c r="AA69" s="104">
        <f t="shared" si="332"/>
        <v>0</v>
      </c>
      <c r="AB69" s="104">
        <f t="shared" si="332"/>
        <v>0</v>
      </c>
      <c r="AC69" s="104">
        <f t="shared" si="332"/>
        <v>0</v>
      </c>
      <c r="AD69" s="104">
        <f t="shared" si="332"/>
        <v>0</v>
      </c>
      <c r="AE69" s="104">
        <f t="shared" si="332"/>
        <v>0</v>
      </c>
      <c r="AF69" s="104">
        <f t="shared" si="332"/>
        <v>0</v>
      </c>
      <c r="AG69" s="106">
        <f t="shared" si="332"/>
        <v>0</v>
      </c>
      <c r="AH69" s="168">
        <v>0</v>
      </c>
      <c r="AI69" s="104">
        <v>0</v>
      </c>
      <c r="AJ69" s="104">
        <v>0</v>
      </c>
      <c r="AK69" s="104">
        <v>0</v>
      </c>
      <c r="AL69" s="104">
        <v>0</v>
      </c>
      <c r="AM69" s="104">
        <v>0</v>
      </c>
      <c r="AN69" s="104">
        <v>0</v>
      </c>
      <c r="AO69" s="104">
        <v>0</v>
      </c>
      <c r="AP69" s="104">
        <v>0</v>
      </c>
      <c r="AQ69" s="104">
        <v>0</v>
      </c>
      <c r="AR69" s="104">
        <v>0</v>
      </c>
      <c r="AS69" s="106">
        <v>0</v>
      </c>
      <c r="AT69" s="168">
        <f t="shared" si="350"/>
        <v>0</v>
      </c>
      <c r="AU69" s="104">
        <f t="shared" si="333"/>
        <v>0</v>
      </c>
      <c r="AV69" s="104">
        <f t="shared" si="333"/>
        <v>0</v>
      </c>
      <c r="AW69" s="104">
        <f t="shared" si="333"/>
        <v>0</v>
      </c>
      <c r="AX69" s="104">
        <f t="shared" si="333"/>
        <v>0</v>
      </c>
      <c r="AY69" s="104">
        <f t="shared" si="333"/>
        <v>0</v>
      </c>
      <c r="AZ69" s="104">
        <f t="shared" si="333"/>
        <v>0</v>
      </c>
      <c r="BA69" s="104">
        <f t="shared" si="333"/>
        <v>0</v>
      </c>
      <c r="BB69" s="104">
        <f t="shared" si="333"/>
        <v>0</v>
      </c>
      <c r="BC69" s="104">
        <f t="shared" si="333"/>
        <v>0</v>
      </c>
      <c r="BD69" s="104">
        <f t="shared" si="333"/>
        <v>0</v>
      </c>
      <c r="BE69" s="106">
        <f t="shared" si="333"/>
        <v>0</v>
      </c>
      <c r="BF69" s="168">
        <v>0</v>
      </c>
      <c r="BG69" s="104">
        <v>0</v>
      </c>
      <c r="BH69" s="104">
        <v>0</v>
      </c>
      <c r="BI69" s="104">
        <v>0</v>
      </c>
      <c r="BJ69" s="104">
        <v>0</v>
      </c>
      <c r="BK69" s="104">
        <v>0</v>
      </c>
      <c r="BL69" s="104">
        <v>0</v>
      </c>
      <c r="BM69" s="104">
        <v>0</v>
      </c>
      <c r="BN69" s="104">
        <v>0</v>
      </c>
      <c r="BO69" s="104">
        <v>0</v>
      </c>
      <c r="BP69" s="104">
        <v>0</v>
      </c>
      <c r="BQ69" s="106">
        <v>0</v>
      </c>
      <c r="BR69" s="168">
        <f t="shared" si="334"/>
        <v>0</v>
      </c>
      <c r="BS69" s="104">
        <f t="shared" si="335"/>
        <v>0</v>
      </c>
      <c r="BT69" s="104">
        <f t="shared" si="336"/>
        <v>0</v>
      </c>
      <c r="BU69" s="104">
        <f t="shared" si="337"/>
        <v>0</v>
      </c>
      <c r="BV69" s="104">
        <f t="shared" si="338"/>
        <v>0</v>
      </c>
      <c r="BW69" s="104">
        <f t="shared" si="339"/>
        <v>0</v>
      </c>
      <c r="BX69" s="104">
        <f t="shared" si="340"/>
        <v>0</v>
      </c>
      <c r="BY69" s="104">
        <f t="shared" si="341"/>
        <v>0</v>
      </c>
      <c r="BZ69" s="104">
        <f t="shared" si="342"/>
        <v>0</v>
      </c>
      <c r="CA69" s="104">
        <f t="shared" si="343"/>
        <v>0</v>
      </c>
      <c r="CB69" s="104">
        <f t="shared" si="344"/>
        <v>0</v>
      </c>
      <c r="CC69" s="106">
        <f t="shared" si="345"/>
        <v>0</v>
      </c>
      <c r="CD69" s="168">
        <v>0</v>
      </c>
      <c r="CE69" s="104">
        <v>0</v>
      </c>
      <c r="CF69" s="104">
        <v>0</v>
      </c>
      <c r="CG69" s="104">
        <v>0</v>
      </c>
      <c r="CH69" s="104">
        <v>0</v>
      </c>
      <c r="CI69" s="104">
        <v>0</v>
      </c>
      <c r="CJ69" s="104">
        <v>0</v>
      </c>
      <c r="CK69" s="104">
        <v>0</v>
      </c>
      <c r="CL69" s="104">
        <v>0</v>
      </c>
      <c r="CM69" s="104">
        <v>0</v>
      </c>
      <c r="CN69" s="104">
        <f>1473.79+722.11</f>
        <v>2195.9</v>
      </c>
      <c r="CO69" s="106">
        <v>0</v>
      </c>
      <c r="CP69" s="104">
        <f t="shared" si="347"/>
        <v>0</v>
      </c>
      <c r="CQ69" s="104">
        <f t="shared" si="347"/>
        <v>0</v>
      </c>
      <c r="CR69" s="104">
        <f t="shared" si="347"/>
        <v>0</v>
      </c>
      <c r="CS69" s="104">
        <f t="shared" si="347"/>
        <v>0</v>
      </c>
      <c r="CT69" s="104">
        <f t="shared" si="347"/>
        <v>0</v>
      </c>
      <c r="CU69" s="104">
        <f t="shared" si="347"/>
        <v>0</v>
      </c>
      <c r="CV69" s="104">
        <f t="shared" si="347"/>
        <v>0</v>
      </c>
      <c r="CW69" s="104">
        <f t="shared" si="347"/>
        <v>0</v>
      </c>
      <c r="CX69" s="104">
        <f t="shared" si="347"/>
        <v>0</v>
      </c>
      <c r="CY69" s="104">
        <f t="shared" si="347"/>
        <v>0</v>
      </c>
      <c r="CZ69" s="104">
        <f t="shared" si="347"/>
        <v>2195.9</v>
      </c>
      <c r="DA69" s="106">
        <f t="shared" si="347"/>
        <v>0</v>
      </c>
      <c r="DB69" s="168">
        <f>DB48+DB55+DB62</f>
        <v>1355.9</v>
      </c>
      <c r="DC69" s="168">
        <f t="shared" ref="DC69:DI69" si="357">DC48+DC55+DC62</f>
        <v>7944.39</v>
      </c>
      <c r="DD69" s="168">
        <f t="shared" si="357"/>
        <v>0</v>
      </c>
      <c r="DE69" s="168">
        <f t="shared" si="357"/>
        <v>90.56</v>
      </c>
      <c r="DF69" s="168">
        <f t="shared" si="357"/>
        <v>10.02</v>
      </c>
      <c r="DG69" s="168">
        <v>0.02</v>
      </c>
      <c r="DH69" s="168">
        <f t="shared" si="357"/>
        <v>0</v>
      </c>
      <c r="DI69" s="168">
        <f t="shared" si="357"/>
        <v>1.75</v>
      </c>
      <c r="DJ69" s="168">
        <f t="shared" ref="DJ69" si="358">DJ48+DJ55+DJ62</f>
        <v>1.75</v>
      </c>
      <c r="DK69" s="168">
        <v>566</v>
      </c>
      <c r="DL69" s="168">
        <v>519</v>
      </c>
      <c r="DM69" s="168"/>
      <c r="DN69" s="104">
        <f t="shared" si="354"/>
        <v>1355.9</v>
      </c>
      <c r="DO69" s="104">
        <f t="shared" si="349"/>
        <v>7944.39</v>
      </c>
      <c r="DP69" s="104">
        <f t="shared" si="349"/>
        <v>0</v>
      </c>
      <c r="DQ69" s="104">
        <f t="shared" si="349"/>
        <v>90.56</v>
      </c>
      <c r="DR69" s="104">
        <f t="shared" si="349"/>
        <v>10.02</v>
      </c>
      <c r="DS69" s="104">
        <f t="shared" si="349"/>
        <v>0.02</v>
      </c>
      <c r="DT69" s="104">
        <f t="shared" si="349"/>
        <v>0</v>
      </c>
      <c r="DU69" s="104">
        <f t="shared" si="349"/>
        <v>1.75</v>
      </c>
      <c r="DV69" s="104">
        <f t="shared" si="349"/>
        <v>1.75</v>
      </c>
      <c r="DW69" s="104">
        <f t="shared" si="349"/>
        <v>566</v>
      </c>
      <c r="DX69" s="104">
        <f t="shared" si="349"/>
        <v>-1676.9</v>
      </c>
      <c r="DY69" s="106">
        <f t="shared" si="349"/>
        <v>0</v>
      </c>
    </row>
    <row r="70" spans="1:129" x14ac:dyDescent="0.25">
      <c r="A70" s="188" t="s">
        <v>46</v>
      </c>
      <c r="B70" s="168">
        <v>0</v>
      </c>
      <c r="C70" s="104">
        <v>0</v>
      </c>
      <c r="D70" s="104">
        <v>0</v>
      </c>
      <c r="E70" s="104">
        <v>0</v>
      </c>
      <c r="F70" s="104">
        <v>0</v>
      </c>
      <c r="G70" s="104">
        <v>0</v>
      </c>
      <c r="H70" s="104">
        <v>0</v>
      </c>
      <c r="I70" s="104">
        <v>0</v>
      </c>
      <c r="J70" s="104">
        <v>0</v>
      </c>
      <c r="K70" s="104">
        <v>0</v>
      </c>
      <c r="L70" s="168">
        <v>0</v>
      </c>
      <c r="M70" s="104">
        <v>0</v>
      </c>
      <c r="N70" s="104">
        <v>0</v>
      </c>
      <c r="O70" s="104">
        <v>0</v>
      </c>
      <c r="P70" s="104">
        <v>0</v>
      </c>
      <c r="Q70" s="104">
        <v>0</v>
      </c>
      <c r="R70" s="104">
        <v>0</v>
      </c>
      <c r="S70" s="104">
        <v>0</v>
      </c>
      <c r="T70" s="104">
        <v>0</v>
      </c>
      <c r="U70" s="104">
        <v>0</v>
      </c>
      <c r="V70" s="104">
        <v>0</v>
      </c>
      <c r="W70" s="104">
        <v>0</v>
      </c>
      <c r="X70" s="168">
        <f t="shared" si="332"/>
        <v>0</v>
      </c>
      <c r="Y70" s="104">
        <f t="shared" si="332"/>
        <v>0</v>
      </c>
      <c r="Z70" s="104">
        <f t="shared" si="332"/>
        <v>0</v>
      </c>
      <c r="AA70" s="104">
        <f t="shared" si="332"/>
        <v>0</v>
      </c>
      <c r="AB70" s="104">
        <f t="shared" si="332"/>
        <v>0</v>
      </c>
      <c r="AC70" s="104">
        <f t="shared" si="332"/>
        <v>0</v>
      </c>
      <c r="AD70" s="104">
        <f t="shared" si="332"/>
        <v>0</v>
      </c>
      <c r="AE70" s="104">
        <f t="shared" si="332"/>
        <v>0</v>
      </c>
      <c r="AF70" s="104">
        <f t="shared" si="332"/>
        <v>0</v>
      </c>
      <c r="AG70" s="106">
        <f t="shared" si="332"/>
        <v>0</v>
      </c>
      <c r="AH70" s="168">
        <v>0</v>
      </c>
      <c r="AI70" s="104">
        <v>0</v>
      </c>
      <c r="AJ70" s="104">
        <v>0</v>
      </c>
      <c r="AK70" s="104">
        <v>0</v>
      </c>
      <c r="AL70" s="104">
        <v>0</v>
      </c>
      <c r="AM70" s="104">
        <v>0</v>
      </c>
      <c r="AN70" s="104">
        <v>0</v>
      </c>
      <c r="AO70" s="104">
        <v>0</v>
      </c>
      <c r="AP70" s="104">
        <v>0</v>
      </c>
      <c r="AQ70" s="104">
        <v>0</v>
      </c>
      <c r="AR70" s="104">
        <v>0</v>
      </c>
      <c r="AS70" s="106">
        <v>0</v>
      </c>
      <c r="AT70" s="168">
        <f t="shared" si="350"/>
        <v>0</v>
      </c>
      <c r="AU70" s="104">
        <f t="shared" si="333"/>
        <v>0</v>
      </c>
      <c r="AV70" s="104">
        <f t="shared" si="333"/>
        <v>0</v>
      </c>
      <c r="AW70" s="104">
        <f t="shared" si="333"/>
        <v>0</v>
      </c>
      <c r="AX70" s="104">
        <f t="shared" si="333"/>
        <v>0</v>
      </c>
      <c r="AY70" s="104">
        <f t="shared" si="333"/>
        <v>0</v>
      </c>
      <c r="AZ70" s="104">
        <f t="shared" si="333"/>
        <v>0</v>
      </c>
      <c r="BA70" s="104">
        <f t="shared" si="333"/>
        <v>0</v>
      </c>
      <c r="BB70" s="104">
        <f t="shared" si="333"/>
        <v>0</v>
      </c>
      <c r="BC70" s="104">
        <f t="shared" si="333"/>
        <v>0</v>
      </c>
      <c r="BD70" s="104">
        <f t="shared" si="333"/>
        <v>0</v>
      </c>
      <c r="BE70" s="106">
        <f t="shared" si="333"/>
        <v>0</v>
      </c>
      <c r="BF70" s="168">
        <v>0</v>
      </c>
      <c r="BG70" s="104">
        <v>0</v>
      </c>
      <c r="BH70" s="104">
        <v>0</v>
      </c>
      <c r="BI70" s="104">
        <v>0</v>
      </c>
      <c r="BJ70" s="104">
        <v>0</v>
      </c>
      <c r="BK70" s="104">
        <v>0</v>
      </c>
      <c r="BL70" s="104">
        <v>0</v>
      </c>
      <c r="BM70" s="104">
        <v>0</v>
      </c>
      <c r="BN70" s="104">
        <v>0</v>
      </c>
      <c r="BO70" s="104">
        <v>0</v>
      </c>
      <c r="BP70" s="104">
        <v>0</v>
      </c>
      <c r="BQ70" s="106">
        <v>0</v>
      </c>
      <c r="BR70" s="168">
        <f t="shared" si="334"/>
        <v>0</v>
      </c>
      <c r="BS70" s="104">
        <f t="shared" si="335"/>
        <v>0</v>
      </c>
      <c r="BT70" s="104">
        <f t="shared" si="336"/>
        <v>0</v>
      </c>
      <c r="BU70" s="104">
        <f t="shared" si="337"/>
        <v>0</v>
      </c>
      <c r="BV70" s="104">
        <f t="shared" si="338"/>
        <v>0</v>
      </c>
      <c r="BW70" s="104">
        <f t="shared" si="339"/>
        <v>0</v>
      </c>
      <c r="BX70" s="104">
        <f t="shared" si="340"/>
        <v>0</v>
      </c>
      <c r="BY70" s="104">
        <f t="shared" si="341"/>
        <v>0</v>
      </c>
      <c r="BZ70" s="104">
        <f t="shared" si="342"/>
        <v>0</v>
      </c>
      <c r="CA70" s="104">
        <f t="shared" si="343"/>
        <v>0</v>
      </c>
      <c r="CB70" s="104">
        <f t="shared" si="344"/>
        <v>0</v>
      </c>
      <c r="CC70" s="106">
        <f t="shared" si="345"/>
        <v>0</v>
      </c>
      <c r="CD70" s="168">
        <v>0</v>
      </c>
      <c r="CE70" s="104">
        <v>0</v>
      </c>
      <c r="CF70" s="104">
        <v>0</v>
      </c>
      <c r="CG70" s="104">
        <v>0</v>
      </c>
      <c r="CH70" s="104">
        <v>0</v>
      </c>
      <c r="CI70" s="104">
        <v>0</v>
      </c>
      <c r="CJ70" s="104">
        <v>0</v>
      </c>
      <c r="CK70" s="104">
        <v>0</v>
      </c>
      <c r="CL70" s="104">
        <v>0</v>
      </c>
      <c r="CM70" s="104">
        <v>0</v>
      </c>
      <c r="CN70" s="104">
        <v>0</v>
      </c>
      <c r="CO70" s="106">
        <v>0</v>
      </c>
      <c r="CP70" s="104">
        <f t="shared" si="347"/>
        <v>0</v>
      </c>
      <c r="CQ70" s="104">
        <f t="shared" si="347"/>
        <v>0</v>
      </c>
      <c r="CR70" s="104">
        <f t="shared" si="347"/>
        <v>0</v>
      </c>
      <c r="CS70" s="104">
        <f t="shared" si="347"/>
        <v>0</v>
      </c>
      <c r="CT70" s="104">
        <f t="shared" si="347"/>
        <v>0</v>
      </c>
      <c r="CU70" s="104">
        <f t="shared" si="347"/>
        <v>0</v>
      </c>
      <c r="CV70" s="104">
        <f t="shared" si="347"/>
        <v>0</v>
      </c>
      <c r="CW70" s="104">
        <f t="shared" si="347"/>
        <v>0</v>
      </c>
      <c r="CX70" s="104">
        <f t="shared" si="347"/>
        <v>0</v>
      </c>
      <c r="CY70" s="104">
        <f t="shared" si="347"/>
        <v>0</v>
      </c>
      <c r="CZ70" s="104">
        <f t="shared" si="347"/>
        <v>0</v>
      </c>
      <c r="DA70" s="106">
        <f t="shared" si="347"/>
        <v>0</v>
      </c>
      <c r="DB70" s="168">
        <f>DB49+DB56+DB63</f>
        <v>0</v>
      </c>
      <c r="DC70" s="168">
        <f t="shared" ref="DC70:DI70" si="359">DC49+DC56+DC63</f>
        <v>0</v>
      </c>
      <c r="DD70" s="168">
        <f t="shared" si="359"/>
        <v>0</v>
      </c>
      <c r="DE70" s="168">
        <f t="shared" si="359"/>
        <v>0</v>
      </c>
      <c r="DF70" s="168">
        <f t="shared" si="359"/>
        <v>0</v>
      </c>
      <c r="DG70" s="168">
        <v>0</v>
      </c>
      <c r="DH70" s="168">
        <f t="shared" si="359"/>
        <v>0</v>
      </c>
      <c r="DI70" s="168">
        <f t="shared" si="359"/>
        <v>0</v>
      </c>
      <c r="DJ70" s="168">
        <f t="shared" ref="DJ70" si="360">DJ49+DJ56+DJ63</f>
        <v>0</v>
      </c>
      <c r="DK70" s="168">
        <v>2</v>
      </c>
      <c r="DL70" s="168">
        <v>0</v>
      </c>
      <c r="DM70" s="168"/>
      <c r="DN70" s="104">
        <f t="shared" si="354"/>
        <v>0</v>
      </c>
      <c r="DO70" s="104">
        <f t="shared" si="349"/>
        <v>0</v>
      </c>
      <c r="DP70" s="104">
        <f t="shared" si="349"/>
        <v>0</v>
      </c>
      <c r="DQ70" s="104">
        <f t="shared" si="349"/>
        <v>0</v>
      </c>
      <c r="DR70" s="104">
        <f t="shared" si="349"/>
        <v>0</v>
      </c>
      <c r="DS70" s="104">
        <f t="shared" si="349"/>
        <v>0</v>
      </c>
      <c r="DT70" s="104">
        <f t="shared" si="349"/>
        <v>0</v>
      </c>
      <c r="DU70" s="104">
        <f t="shared" si="349"/>
        <v>0</v>
      </c>
      <c r="DV70" s="104">
        <f t="shared" si="349"/>
        <v>0</v>
      </c>
      <c r="DW70" s="104">
        <f t="shared" si="349"/>
        <v>2</v>
      </c>
      <c r="DX70" s="104">
        <f t="shared" si="349"/>
        <v>0</v>
      </c>
      <c r="DY70" s="106">
        <f t="shared" si="349"/>
        <v>0</v>
      </c>
    </row>
    <row r="71" spans="1:129" ht="15.75" thickBot="1" x14ac:dyDescent="0.3">
      <c r="A71" s="190" t="s">
        <v>39</v>
      </c>
      <c r="B71" s="168">
        <f>SUM(B66:B70)</f>
        <v>174566.78</v>
      </c>
      <c r="C71" s="104">
        <f t="shared" ref="C71:K71" si="361">SUM(C66:C70)</f>
        <v>55492.42</v>
      </c>
      <c r="D71" s="104">
        <f t="shared" si="361"/>
        <v>108272.46000000002</v>
      </c>
      <c r="E71" s="160">
        <f t="shared" si="361"/>
        <v>35924.01</v>
      </c>
      <c r="F71" s="160">
        <f t="shared" si="361"/>
        <v>25737.51</v>
      </c>
      <c r="G71" s="160">
        <f t="shared" si="361"/>
        <v>13438.659999999998</v>
      </c>
      <c r="H71" s="160">
        <f t="shared" si="361"/>
        <v>-11185.96</v>
      </c>
      <c r="I71" s="160">
        <f t="shared" si="361"/>
        <v>-2446.12</v>
      </c>
      <c r="J71" s="160">
        <f t="shared" si="361"/>
        <v>-7318.3499999999995</v>
      </c>
      <c r="K71" s="160">
        <f t="shared" si="361"/>
        <v>33297.630000000005</v>
      </c>
      <c r="L71" s="168">
        <f>SUM(L66:L70)</f>
        <v>54031.34</v>
      </c>
      <c r="M71" s="104">
        <f t="shared" ref="M71:W71" si="362">SUM(M66:M70)</f>
        <v>6901.369999999999</v>
      </c>
      <c r="N71" s="104">
        <f t="shared" si="362"/>
        <v>89319.679999999993</v>
      </c>
      <c r="O71" s="160">
        <f t="shared" si="362"/>
        <v>38267.279999999999</v>
      </c>
      <c r="P71" s="160">
        <f t="shared" si="362"/>
        <v>100605.6</v>
      </c>
      <c r="Q71" s="160">
        <f t="shared" si="362"/>
        <v>65230.17</v>
      </c>
      <c r="R71" s="160">
        <f t="shared" si="362"/>
        <v>59670.789999999994</v>
      </c>
      <c r="S71" s="160">
        <f t="shared" si="362"/>
        <v>45913.05</v>
      </c>
      <c r="T71" s="160">
        <f t="shared" si="362"/>
        <v>19675.349999999999</v>
      </c>
      <c r="U71" s="160">
        <f t="shared" si="362"/>
        <v>27932.829999999998</v>
      </c>
      <c r="V71" s="160">
        <f t="shared" si="362"/>
        <v>16956.55</v>
      </c>
      <c r="W71" s="160">
        <f t="shared" si="362"/>
        <v>60191.790000000008</v>
      </c>
      <c r="X71" s="168">
        <f t="shared" ref="X71:AG71" si="363">SUM(X66:X70)</f>
        <v>85247.1</v>
      </c>
      <c r="Y71" s="160">
        <f t="shared" si="363"/>
        <v>17225.14</v>
      </c>
      <c r="Z71" s="160">
        <f t="shared" si="363"/>
        <v>7666.8600000000024</v>
      </c>
      <c r="AA71" s="160">
        <f t="shared" si="363"/>
        <v>-29306.16</v>
      </c>
      <c r="AB71" s="160">
        <f t="shared" si="363"/>
        <v>-33933.279999999999</v>
      </c>
      <c r="AC71" s="160">
        <f t="shared" si="363"/>
        <v>-32474.389999999996</v>
      </c>
      <c r="AD71" s="160">
        <f t="shared" si="363"/>
        <v>-30861.309999999998</v>
      </c>
      <c r="AE71" s="160">
        <f t="shared" si="363"/>
        <v>-30378.95</v>
      </c>
      <c r="AF71" s="160">
        <f t="shared" si="363"/>
        <v>-24274.9</v>
      </c>
      <c r="AG71" s="206">
        <f t="shared" si="363"/>
        <v>-26894.160000000003</v>
      </c>
      <c r="AH71" s="168">
        <f t="shared" ref="AH71:AS71" si="364">SUM(AH66:AH70)</f>
        <v>118702.26000000001</v>
      </c>
      <c r="AI71" s="104">
        <f t="shared" si="364"/>
        <v>69416.19</v>
      </c>
      <c r="AJ71" s="104">
        <f t="shared" si="364"/>
        <v>194506.05</v>
      </c>
      <c r="AK71" s="160">
        <f t="shared" si="364"/>
        <v>69306.02</v>
      </c>
      <c r="AL71" s="160">
        <f t="shared" si="364"/>
        <v>85611.290000000008</v>
      </c>
      <c r="AM71" s="160">
        <f t="shared" si="364"/>
        <v>82166.33</v>
      </c>
      <c r="AN71" s="160">
        <f t="shared" si="364"/>
        <v>28464.740000000005</v>
      </c>
      <c r="AO71" s="160">
        <f t="shared" si="364"/>
        <v>24821.01</v>
      </c>
      <c r="AP71" s="160">
        <f t="shared" si="364"/>
        <v>-13562.73</v>
      </c>
      <c r="AQ71" s="160">
        <f t="shared" si="364"/>
        <v>-9872.3499999999985</v>
      </c>
      <c r="AR71" s="160">
        <f t="shared" si="364"/>
        <v>-7364.13</v>
      </c>
      <c r="AS71" s="206">
        <f t="shared" si="364"/>
        <v>72253.97</v>
      </c>
      <c r="AT71" s="168">
        <f t="shared" ref="AT71:BE71" si="365">SUM(AT66:AT70)</f>
        <v>-64670.92</v>
      </c>
      <c r="AU71" s="104">
        <f t="shared" si="365"/>
        <v>-62514.819999999992</v>
      </c>
      <c r="AV71" s="104">
        <f t="shared" si="365"/>
        <v>-105186.37</v>
      </c>
      <c r="AW71" s="160">
        <f t="shared" si="365"/>
        <v>-31038.739999999998</v>
      </c>
      <c r="AX71" s="160">
        <f t="shared" si="365"/>
        <v>14994.310000000009</v>
      </c>
      <c r="AY71" s="160">
        <f t="shared" si="365"/>
        <v>-16936.160000000003</v>
      </c>
      <c r="AZ71" s="160">
        <f t="shared" si="365"/>
        <v>31206.049999999996</v>
      </c>
      <c r="BA71" s="160">
        <f t="shared" si="365"/>
        <v>21092.04</v>
      </c>
      <c r="BB71" s="160">
        <f t="shared" si="365"/>
        <v>33238.079999999994</v>
      </c>
      <c r="BC71" s="160">
        <f t="shared" si="365"/>
        <v>37805.18</v>
      </c>
      <c r="BD71" s="160">
        <f t="shared" si="365"/>
        <v>24320.68</v>
      </c>
      <c r="BE71" s="206">
        <f t="shared" si="365"/>
        <v>-12062.179999999997</v>
      </c>
      <c r="BF71" s="168">
        <f>SUM(BF66:BF70)</f>
        <v>74214.63</v>
      </c>
      <c r="BG71" s="104">
        <f>SUM(BG66:BG70)</f>
        <v>29206.03</v>
      </c>
      <c r="BH71" s="104">
        <f>SUM(BH66:BH70)</f>
        <v>181462.33</v>
      </c>
      <c r="BI71" s="160">
        <f>SUM(BI66:BI70)</f>
        <v>83708.739999999991</v>
      </c>
      <c r="BJ71" s="160">
        <v>181332.85</v>
      </c>
      <c r="BK71" s="160">
        <v>52322.06</v>
      </c>
      <c r="BL71" s="160">
        <v>46428.27</v>
      </c>
      <c r="BM71" s="160">
        <v>8724.58</v>
      </c>
      <c r="BN71" s="160">
        <v>-36297.61</v>
      </c>
      <c r="BO71" s="160">
        <v>-29070.560000000001</v>
      </c>
      <c r="BP71" s="160">
        <v>-27996.37</v>
      </c>
      <c r="BQ71" s="206">
        <v>79152.66</v>
      </c>
      <c r="BR71" s="168">
        <f t="shared" ref="BR71:CC71" si="366">SUM(BR66:BR70)</f>
        <v>44487.63</v>
      </c>
      <c r="BS71" s="104">
        <f t="shared" si="366"/>
        <v>40210.160000000003</v>
      </c>
      <c r="BT71" s="104">
        <f t="shared" si="366"/>
        <v>13043.72000000001</v>
      </c>
      <c r="BU71" s="160">
        <f t="shared" si="366"/>
        <v>-14402.72</v>
      </c>
      <c r="BV71" s="160">
        <f t="shared" si="366"/>
        <v>-95721.56</v>
      </c>
      <c r="BW71" s="160">
        <f t="shared" si="366"/>
        <v>29844.269999999997</v>
      </c>
      <c r="BX71" s="160">
        <f t="shared" si="366"/>
        <v>-17963.529999999995</v>
      </c>
      <c r="BY71" s="160">
        <f t="shared" si="366"/>
        <v>16096.429999999997</v>
      </c>
      <c r="BZ71" s="160">
        <f t="shared" si="366"/>
        <v>22734.880000000001</v>
      </c>
      <c r="CA71" s="160">
        <f t="shared" si="366"/>
        <v>19198.21</v>
      </c>
      <c r="CB71" s="160">
        <f t="shared" si="366"/>
        <v>20632.240000000002</v>
      </c>
      <c r="CC71" s="206">
        <f t="shared" si="366"/>
        <v>-6898.6899999999987</v>
      </c>
      <c r="CD71" s="168">
        <f>SUM(CD66:CD68)</f>
        <v>131924.45000000001</v>
      </c>
      <c r="CE71" s="104">
        <f>SUM(CE66:CE70)</f>
        <v>43507.489999999991</v>
      </c>
      <c r="CF71" s="104">
        <f>SUM(CF66:CF70)</f>
        <v>161020.94000000003</v>
      </c>
      <c r="CG71" s="160">
        <f>SUM(CG66:CG70)</f>
        <v>90363.129999999976</v>
      </c>
      <c r="CH71" s="160">
        <f>SUM(CH66:CH70)</f>
        <v>143268.21</v>
      </c>
      <c r="CI71" s="160">
        <f t="shared" ref="CI71:CM71" si="367">SUM(CI66:CI70)</f>
        <v>65893.350000000006</v>
      </c>
      <c r="CJ71" s="160">
        <f t="shared" si="367"/>
        <v>74418.040000000023</v>
      </c>
      <c r="CK71" s="160">
        <f t="shared" si="367"/>
        <v>26914.269999999997</v>
      </c>
      <c r="CL71" s="160">
        <f t="shared" si="367"/>
        <v>-4857.7799999999979</v>
      </c>
      <c r="CM71" s="160">
        <f t="shared" si="367"/>
        <v>0</v>
      </c>
      <c r="CN71" s="160">
        <f>SUM(CN66:CN70)</f>
        <v>64733.48</v>
      </c>
      <c r="CO71" s="206">
        <v>51573.760000000002</v>
      </c>
      <c r="CP71" s="104">
        <f t="shared" si="347"/>
        <v>57709.820000000007</v>
      </c>
      <c r="CQ71" s="160">
        <f t="shared" si="347"/>
        <v>14301.459999999992</v>
      </c>
      <c r="CR71" s="160">
        <f t="shared" si="347"/>
        <v>-20441.389999999956</v>
      </c>
      <c r="CS71" s="160">
        <f t="shared" si="347"/>
        <v>6654.3899999999849</v>
      </c>
      <c r="CT71" s="160">
        <f t="shared" si="347"/>
        <v>-38064.640000000014</v>
      </c>
      <c r="CU71" s="160">
        <f t="shared" si="347"/>
        <v>13571.290000000008</v>
      </c>
      <c r="CV71" s="160">
        <f t="shared" si="347"/>
        <v>27989.770000000026</v>
      </c>
      <c r="CW71" s="160">
        <f t="shared" si="347"/>
        <v>18189.689999999995</v>
      </c>
      <c r="CX71" s="160">
        <f t="shared" si="347"/>
        <v>31439.83</v>
      </c>
      <c r="CY71" s="160">
        <f t="shared" si="347"/>
        <v>29070.560000000001</v>
      </c>
      <c r="CZ71" s="160">
        <f t="shared" si="347"/>
        <v>92729.85</v>
      </c>
      <c r="DA71" s="206">
        <f t="shared" si="347"/>
        <v>-27578.9</v>
      </c>
      <c r="DB71" s="168">
        <f>SUM(DB66:DB68)</f>
        <v>59519.82</v>
      </c>
      <c r="DC71" s="168">
        <f t="shared" ref="DC71:DI71" si="368">SUM(DC66:DC68)</f>
        <v>127782.3</v>
      </c>
      <c r="DD71" s="168">
        <f t="shared" si="368"/>
        <v>132689.22999999998</v>
      </c>
      <c r="DE71" s="168">
        <f t="shared" si="368"/>
        <v>128741.23999999999</v>
      </c>
      <c r="DF71" s="168">
        <f t="shared" si="368"/>
        <v>102912.42000000001</v>
      </c>
      <c r="DG71" s="168">
        <v>79892</v>
      </c>
      <c r="DH71" s="168">
        <f t="shared" si="368"/>
        <v>64256.61</v>
      </c>
      <c r="DI71" s="168">
        <f t="shared" si="368"/>
        <v>45444.58</v>
      </c>
      <c r="DJ71" s="168">
        <f t="shared" ref="DJ71" si="369">SUM(DJ66:DJ68)</f>
        <v>44805.74</v>
      </c>
      <c r="DK71" s="168">
        <f t="shared" ref="DK71:DM71" si="370">SUM(DK66:DK70)</f>
        <v>38129</v>
      </c>
      <c r="DL71" s="168">
        <f t="shared" si="370"/>
        <v>33655</v>
      </c>
      <c r="DM71" s="168">
        <f t="shared" si="370"/>
        <v>0</v>
      </c>
      <c r="DN71" s="104">
        <f>SUM(DN66:DN70)</f>
        <v>-71048.73000000001</v>
      </c>
      <c r="DO71" s="160">
        <f t="shared" ref="DO71:DY71" si="371">SUM(DO66:DO70)</f>
        <v>92219.200000000012</v>
      </c>
      <c r="DP71" s="160">
        <f t="shared" si="371"/>
        <v>-28331.710000000032</v>
      </c>
      <c r="DQ71" s="160">
        <f t="shared" si="371"/>
        <v>38468.670000000013</v>
      </c>
      <c r="DR71" s="160">
        <f t="shared" si="371"/>
        <v>-40345.769999999997</v>
      </c>
      <c r="DS71" s="160">
        <f t="shared" si="371"/>
        <v>13998.670000000002</v>
      </c>
      <c r="DT71" s="160">
        <f t="shared" si="371"/>
        <v>-10161.430000000011</v>
      </c>
      <c r="DU71" s="160">
        <f t="shared" si="371"/>
        <v>18532.060000000005</v>
      </c>
      <c r="DV71" s="160">
        <f t="shared" si="371"/>
        <v>49665.270000000004</v>
      </c>
      <c r="DW71" s="160">
        <f t="shared" si="371"/>
        <v>38129</v>
      </c>
      <c r="DX71" s="160">
        <f t="shared" si="371"/>
        <v>-31078.480000000003</v>
      </c>
      <c r="DY71" s="206">
        <f t="shared" si="371"/>
        <v>-51573.760000000002</v>
      </c>
    </row>
    <row r="72" spans="1:129" x14ac:dyDescent="0.25">
      <c r="A72" s="24" t="s">
        <v>31</v>
      </c>
      <c r="B72" s="164"/>
      <c r="C72" s="94"/>
      <c r="D72" s="94"/>
      <c r="E72" s="94"/>
      <c r="F72" s="94"/>
      <c r="G72" s="94"/>
      <c r="H72" s="94"/>
      <c r="I72" s="94"/>
      <c r="J72" s="94"/>
      <c r="K72" s="94"/>
      <c r="L72" s="164"/>
      <c r="M72" s="94"/>
      <c r="N72" s="94"/>
      <c r="O72" s="94"/>
      <c r="P72" s="94"/>
      <c r="Q72" s="94"/>
      <c r="R72" s="94"/>
      <c r="S72" s="94"/>
      <c r="T72" s="94"/>
      <c r="U72" s="94"/>
      <c r="V72" s="94"/>
      <c r="W72" s="94"/>
      <c r="X72" s="164"/>
      <c r="Y72" s="94"/>
      <c r="Z72" s="94"/>
      <c r="AA72" s="94"/>
      <c r="AB72" s="94"/>
      <c r="AC72" s="94"/>
      <c r="AD72" s="94"/>
      <c r="AE72" s="94"/>
      <c r="AF72" s="94"/>
      <c r="AG72" s="95"/>
      <c r="AH72" s="164"/>
      <c r="AI72" s="94"/>
      <c r="AJ72" s="94"/>
      <c r="AK72" s="94"/>
      <c r="AL72" s="94"/>
      <c r="AM72" s="94"/>
      <c r="AN72" s="94"/>
      <c r="AO72" s="94"/>
      <c r="AP72" s="94"/>
      <c r="AQ72" s="94"/>
      <c r="AR72" s="94"/>
      <c r="AS72" s="95"/>
      <c r="AT72" s="164"/>
      <c r="AU72" s="94"/>
      <c r="AV72" s="94"/>
      <c r="AW72" s="94"/>
      <c r="AX72" s="94"/>
      <c r="AY72" s="94"/>
      <c r="AZ72" s="94"/>
      <c r="BA72" s="94"/>
      <c r="BB72" s="94"/>
      <c r="BC72" s="94"/>
      <c r="BD72" s="94"/>
      <c r="BE72" s="95"/>
      <c r="BF72" s="164"/>
      <c r="BG72" s="94"/>
      <c r="BH72" s="94"/>
      <c r="BI72" s="94"/>
      <c r="BJ72" s="94"/>
      <c r="BK72" s="94"/>
      <c r="BL72" s="94"/>
      <c r="BM72" s="94"/>
      <c r="BN72" s="94"/>
      <c r="BO72" s="94"/>
      <c r="BP72" s="94"/>
      <c r="BQ72" s="95"/>
      <c r="BR72" s="164"/>
      <c r="BS72" s="94"/>
      <c r="BT72" s="94"/>
      <c r="BU72" s="94"/>
      <c r="BV72" s="94"/>
      <c r="BW72" s="94"/>
      <c r="BX72" s="94"/>
      <c r="BY72" s="94"/>
      <c r="BZ72" s="94"/>
      <c r="CA72" s="94"/>
      <c r="CB72" s="94"/>
      <c r="CC72" s="95"/>
      <c r="CD72" s="164"/>
      <c r="CE72" s="94"/>
      <c r="CF72" s="94"/>
      <c r="CG72" s="94"/>
      <c r="CH72" s="94"/>
      <c r="CI72" s="94"/>
      <c r="CJ72" s="94"/>
      <c r="CK72" s="94"/>
      <c r="CL72" s="94"/>
      <c r="CM72" s="94"/>
      <c r="CN72" s="94"/>
      <c r="CO72" s="95"/>
      <c r="CP72" s="164"/>
      <c r="CQ72" s="94"/>
      <c r="CR72" s="94"/>
      <c r="CS72" s="94"/>
      <c r="CT72" s="94"/>
      <c r="CU72" s="94"/>
      <c r="CV72" s="94"/>
      <c r="CW72" s="94"/>
      <c r="CX72" s="94"/>
      <c r="CY72" s="94"/>
      <c r="CZ72" s="94"/>
      <c r="DA72" s="95"/>
      <c r="DB72" s="164"/>
      <c r="DC72" s="94"/>
      <c r="DD72" s="94"/>
      <c r="DE72" s="94"/>
      <c r="DF72" s="94"/>
      <c r="DG72" s="94"/>
      <c r="DH72" s="94"/>
      <c r="DI72" s="94"/>
      <c r="DJ72" s="94"/>
      <c r="DK72" s="94"/>
      <c r="DL72" s="94"/>
      <c r="DM72" s="95"/>
      <c r="DN72" s="164"/>
      <c r="DO72" s="94"/>
      <c r="DP72" s="94"/>
      <c r="DQ72" s="94"/>
      <c r="DR72" s="94"/>
      <c r="DS72" s="94"/>
      <c r="DT72" s="94"/>
      <c r="DU72" s="94"/>
      <c r="DV72" s="94"/>
      <c r="DW72" s="94"/>
      <c r="DX72" s="94"/>
      <c r="DY72" s="95"/>
    </row>
    <row r="73" spans="1:129" x14ac:dyDescent="0.25">
      <c r="A73" s="19" t="s">
        <v>34</v>
      </c>
      <c r="B73" s="168">
        <v>290184.34999999998</v>
      </c>
      <c r="C73" s="104">
        <v>173694.58</v>
      </c>
      <c r="D73" s="104">
        <v>93046.57</v>
      </c>
      <c r="E73" s="104">
        <v>56249.74</v>
      </c>
      <c r="F73" s="104">
        <v>50714.32</v>
      </c>
      <c r="G73" s="104">
        <v>53585.19</v>
      </c>
      <c r="H73" s="104">
        <v>53876.92</v>
      </c>
      <c r="I73" s="104">
        <v>95539.76</v>
      </c>
      <c r="J73" s="104">
        <v>183309.73</v>
      </c>
      <c r="K73" s="104">
        <v>278139.59999999998</v>
      </c>
      <c r="L73" s="168">
        <v>323987.03999999998</v>
      </c>
      <c r="M73" s="104">
        <v>272058.15999999997</v>
      </c>
      <c r="N73" s="104">
        <v>226857.71</v>
      </c>
      <c r="O73" s="104">
        <v>193932.69</v>
      </c>
      <c r="P73" s="104">
        <v>91233.32</v>
      </c>
      <c r="Q73" s="104">
        <v>60391.040000000001</v>
      </c>
      <c r="R73" s="104">
        <v>49442.95</v>
      </c>
      <c r="S73" s="104">
        <v>49130.43</v>
      </c>
      <c r="T73" s="104">
        <v>66041.929999999993</v>
      </c>
      <c r="U73" s="104">
        <v>79599.649999999994</v>
      </c>
      <c r="V73" s="104">
        <v>167766.9</v>
      </c>
      <c r="W73" s="104">
        <v>291304.71999999997</v>
      </c>
      <c r="X73" s="168">
        <f t="shared" ref="X73:AG77" si="372">B73-N73</f>
        <v>63326.639999999985</v>
      </c>
      <c r="Y73" s="104">
        <f t="shared" si="372"/>
        <v>-20238.110000000015</v>
      </c>
      <c r="Z73" s="104">
        <f t="shared" si="372"/>
        <v>1813.25</v>
      </c>
      <c r="AA73" s="104">
        <f t="shared" si="372"/>
        <v>-4141.3000000000029</v>
      </c>
      <c r="AB73" s="104">
        <f t="shared" si="372"/>
        <v>1271.3700000000026</v>
      </c>
      <c r="AC73" s="104">
        <f t="shared" si="372"/>
        <v>4454.760000000002</v>
      </c>
      <c r="AD73" s="104">
        <f t="shared" si="372"/>
        <v>-12165.009999999995</v>
      </c>
      <c r="AE73" s="104">
        <f t="shared" si="372"/>
        <v>15940.11</v>
      </c>
      <c r="AF73" s="104">
        <f t="shared" si="372"/>
        <v>15542.830000000016</v>
      </c>
      <c r="AG73" s="106">
        <f t="shared" si="372"/>
        <v>-13165.119999999995</v>
      </c>
      <c r="AH73" s="168">
        <v>253256.29</v>
      </c>
      <c r="AI73" s="104">
        <v>277329.28999999998</v>
      </c>
      <c r="AJ73" s="104">
        <v>237118.31</v>
      </c>
      <c r="AK73" s="104">
        <v>146383.71</v>
      </c>
      <c r="AL73" s="104">
        <v>71337.87</v>
      </c>
      <c r="AM73" s="104">
        <v>58077.84</v>
      </c>
      <c r="AN73" s="104">
        <v>55990.71</v>
      </c>
      <c r="AO73" s="104">
        <v>47334.15</v>
      </c>
      <c r="AP73" s="104">
        <v>50591.7</v>
      </c>
      <c r="AQ73" s="104">
        <v>67404.27</v>
      </c>
      <c r="AR73" s="104">
        <v>236095.46</v>
      </c>
      <c r="AS73" s="106">
        <v>320297.28999999998</v>
      </c>
      <c r="AT73" s="168">
        <f>L73-AH73</f>
        <v>70730.749999999971</v>
      </c>
      <c r="AU73" s="104">
        <f t="shared" ref="AU73:BE77" si="373">M73-AI73</f>
        <v>-5271.1300000000047</v>
      </c>
      <c r="AV73" s="104">
        <f t="shared" si="373"/>
        <v>-10260.600000000006</v>
      </c>
      <c r="AW73" s="104">
        <f t="shared" si="373"/>
        <v>47548.98000000001</v>
      </c>
      <c r="AX73" s="104">
        <f t="shared" si="373"/>
        <v>19895.450000000012</v>
      </c>
      <c r="AY73" s="104">
        <f t="shared" si="373"/>
        <v>2313.2000000000044</v>
      </c>
      <c r="AZ73" s="104">
        <f t="shared" si="373"/>
        <v>-6547.760000000002</v>
      </c>
      <c r="BA73" s="104">
        <f t="shared" si="373"/>
        <v>1796.2799999999988</v>
      </c>
      <c r="BB73" s="104">
        <f t="shared" si="373"/>
        <v>15450.229999999996</v>
      </c>
      <c r="BC73" s="104">
        <f t="shared" si="373"/>
        <v>12195.37999999999</v>
      </c>
      <c r="BD73" s="104">
        <f t="shared" si="373"/>
        <v>-68328.56</v>
      </c>
      <c r="BE73" s="106">
        <f t="shared" si="373"/>
        <v>-28992.570000000007</v>
      </c>
      <c r="BF73" s="168">
        <v>256214.899</v>
      </c>
      <c r="BG73" s="104">
        <v>217323.29</v>
      </c>
      <c r="BH73" s="104">
        <v>175340.38500000001</v>
      </c>
      <c r="BI73" s="104">
        <v>89117.35</v>
      </c>
      <c r="BJ73" s="104">
        <v>54184.161999999997</v>
      </c>
      <c r="BK73" s="104">
        <v>32784.351999999999</v>
      </c>
      <c r="BL73" s="104">
        <v>23401.308000000001</v>
      </c>
      <c r="BM73" s="104">
        <v>26641.548999999999</v>
      </c>
      <c r="BN73" s="104">
        <v>25946.735000000001</v>
      </c>
      <c r="BO73" s="104">
        <v>49149.294000000002</v>
      </c>
      <c r="BP73" s="104">
        <v>0</v>
      </c>
      <c r="BQ73" s="106">
        <v>177927.76199999999</v>
      </c>
      <c r="BR73" s="168">
        <f t="shared" ref="BR73:BR77" si="374">AH73-BF73</f>
        <v>-2958.6089999999967</v>
      </c>
      <c r="BS73" s="104">
        <f t="shared" ref="BS73:BS77" si="375">AI73-BG73</f>
        <v>60005.999999999971</v>
      </c>
      <c r="BT73" s="104">
        <f t="shared" ref="BT73:BT77" si="376">AJ73-BH73</f>
        <v>61777.924999999988</v>
      </c>
      <c r="BU73" s="104">
        <f t="shared" ref="BU73:BU77" si="377">AK73-BI73</f>
        <v>57266.359999999986</v>
      </c>
      <c r="BV73" s="104">
        <f t="shared" ref="BV73:BV77" si="378">AL73-BJ73</f>
        <v>17153.707999999999</v>
      </c>
      <c r="BW73" s="104">
        <f t="shared" ref="BW73:BW77" si="379">AM73-BK73</f>
        <v>25293.487999999998</v>
      </c>
      <c r="BX73" s="104">
        <f t="shared" ref="BX73:BX77" si="380">AN73-BL73</f>
        <v>32589.401999999998</v>
      </c>
      <c r="BY73" s="104">
        <f t="shared" ref="BY73:BY77" si="381">AO73-BM73</f>
        <v>20692.601000000002</v>
      </c>
      <c r="BZ73" s="104">
        <f t="shared" ref="BZ73:BZ77" si="382">AP73-BN73</f>
        <v>24644.964999999997</v>
      </c>
      <c r="CA73" s="104">
        <f t="shared" ref="CA73:CA77" si="383">AQ73-BO73</f>
        <v>18254.976000000002</v>
      </c>
      <c r="CB73" s="104">
        <f t="shared" ref="CB73:CB77" si="384">AR73-BP73</f>
        <v>236095.46</v>
      </c>
      <c r="CC73" s="106">
        <f t="shared" ref="CC73:CC77" si="385">AS73-BQ73</f>
        <v>142369.52799999999</v>
      </c>
      <c r="CD73" s="168">
        <v>165834.87899999999</v>
      </c>
      <c r="CE73" s="104">
        <v>158556.54699999999</v>
      </c>
      <c r="CF73" s="104">
        <v>180865.30100000001</v>
      </c>
      <c r="CG73" s="104">
        <v>78060.02</v>
      </c>
      <c r="CH73" s="104">
        <v>46410.52</v>
      </c>
      <c r="CI73" s="104">
        <v>39448.339999999997</v>
      </c>
      <c r="CJ73" s="104">
        <v>23307.27</v>
      </c>
      <c r="CK73" s="104">
        <v>24683.03</v>
      </c>
      <c r="CL73" s="104">
        <v>28667.62</v>
      </c>
      <c r="CM73" s="104">
        <f>1099+35632</f>
        <v>36731</v>
      </c>
      <c r="CN73" s="104">
        <f>2414+188631</f>
        <v>191045</v>
      </c>
      <c r="CO73" s="106">
        <v>266388</v>
      </c>
      <c r="CP73" s="165">
        <f t="shared" ref="CP73:DA78" si="386">CD73-BF73</f>
        <v>-90380.020000000019</v>
      </c>
      <c r="CQ73" s="100">
        <f t="shared" si="386"/>
        <v>-58766.743000000017</v>
      </c>
      <c r="CR73" s="100">
        <f t="shared" si="386"/>
        <v>5524.9159999999974</v>
      </c>
      <c r="CS73" s="100">
        <f t="shared" si="386"/>
        <v>-11057.330000000002</v>
      </c>
      <c r="CT73" s="100">
        <f t="shared" si="386"/>
        <v>-7773.6419999999998</v>
      </c>
      <c r="CU73" s="100">
        <f t="shared" si="386"/>
        <v>6663.9879999999976</v>
      </c>
      <c r="CV73" s="100">
        <f t="shared" si="386"/>
        <v>-94.038000000000466</v>
      </c>
      <c r="CW73" s="100">
        <f t="shared" si="386"/>
        <v>-1958.5190000000002</v>
      </c>
      <c r="CX73" s="100">
        <f t="shared" si="386"/>
        <v>2720.8849999999984</v>
      </c>
      <c r="CY73" s="100">
        <f t="shared" si="386"/>
        <v>-12418.294000000002</v>
      </c>
      <c r="CZ73" s="100">
        <f t="shared" si="386"/>
        <v>191045</v>
      </c>
      <c r="DA73" s="200">
        <f t="shared" si="386"/>
        <v>88460.238000000012</v>
      </c>
      <c r="DB73" s="168">
        <f>2357+175774</f>
        <v>178131</v>
      </c>
      <c r="DC73" s="104">
        <f>2786+182376</f>
        <v>185162</v>
      </c>
      <c r="DD73" s="104">
        <v>123723</v>
      </c>
      <c r="DE73" s="104">
        <f>2075+121979</f>
        <v>124054</v>
      </c>
      <c r="DF73" s="104">
        <f>2160+61373</f>
        <v>63533</v>
      </c>
      <c r="DG73" s="104">
        <v>32829</v>
      </c>
      <c r="DH73" s="104">
        <v>20789</v>
      </c>
      <c r="DI73" s="104">
        <v>23685</v>
      </c>
      <c r="DJ73" s="104">
        <v>27797</v>
      </c>
      <c r="DK73" s="104">
        <v>46247</v>
      </c>
      <c r="DL73" s="104">
        <v>93380</v>
      </c>
      <c r="DM73" s="106"/>
      <c r="DN73" s="104">
        <f>DB73-CD73</f>
        <v>12296.121000000014</v>
      </c>
      <c r="DO73" s="104">
        <f t="shared" ref="DO73:DY77" si="387">DC73-CE73</f>
        <v>26605.453000000009</v>
      </c>
      <c r="DP73" s="104">
        <f t="shared" si="387"/>
        <v>-57142.301000000007</v>
      </c>
      <c r="DQ73" s="104">
        <f t="shared" si="387"/>
        <v>45993.979999999996</v>
      </c>
      <c r="DR73" s="104">
        <f t="shared" si="387"/>
        <v>17122.480000000003</v>
      </c>
      <c r="DS73" s="104">
        <f t="shared" si="387"/>
        <v>-6619.3399999999965</v>
      </c>
      <c r="DT73" s="104">
        <f t="shared" si="387"/>
        <v>-2518.2700000000004</v>
      </c>
      <c r="DU73" s="104">
        <f t="shared" si="387"/>
        <v>-998.02999999999884</v>
      </c>
      <c r="DV73" s="104">
        <f t="shared" si="387"/>
        <v>-870.61999999999898</v>
      </c>
      <c r="DW73" s="104">
        <f t="shared" si="387"/>
        <v>9516</v>
      </c>
      <c r="DX73" s="104">
        <f t="shared" si="387"/>
        <v>-97665</v>
      </c>
      <c r="DY73" s="106">
        <f t="shared" si="387"/>
        <v>-266388</v>
      </c>
    </row>
    <row r="74" spans="1:129" x14ac:dyDescent="0.25">
      <c r="A74" s="19" t="s">
        <v>35</v>
      </c>
      <c r="B74" s="168">
        <v>13581.98</v>
      </c>
      <c r="C74" s="104">
        <v>9607</v>
      </c>
      <c r="D74" s="104">
        <v>5084.55</v>
      </c>
      <c r="E74" s="104">
        <v>2990.51</v>
      </c>
      <c r="F74" s="104">
        <v>2900.88</v>
      </c>
      <c r="G74" s="104">
        <v>2701.9</v>
      </c>
      <c r="H74" s="104">
        <v>2814.98</v>
      </c>
      <c r="I74" s="104">
        <v>5224</v>
      </c>
      <c r="J74" s="104">
        <v>9379.4599999999991</v>
      </c>
      <c r="K74" s="104">
        <v>12396.24</v>
      </c>
      <c r="L74" s="168">
        <v>15335.48</v>
      </c>
      <c r="M74" s="104">
        <v>13625.86</v>
      </c>
      <c r="N74" s="104">
        <v>12010.88</v>
      </c>
      <c r="O74" s="104">
        <v>11024.85</v>
      </c>
      <c r="P74" s="104">
        <v>5190.42</v>
      </c>
      <c r="Q74" s="104">
        <v>3362.07</v>
      </c>
      <c r="R74" s="104">
        <v>2822.99</v>
      </c>
      <c r="S74" s="104">
        <v>2821.47</v>
      </c>
      <c r="T74" s="104">
        <v>3612.95</v>
      </c>
      <c r="U74" s="104">
        <v>4452.34</v>
      </c>
      <c r="V74" s="104">
        <v>9473.7999999999993</v>
      </c>
      <c r="W74" s="104">
        <v>17007.11</v>
      </c>
      <c r="X74" s="168">
        <f t="shared" si="372"/>
        <v>1571.1000000000004</v>
      </c>
      <c r="Y74" s="104">
        <f t="shared" si="372"/>
        <v>-1417.8500000000004</v>
      </c>
      <c r="Z74" s="104">
        <f t="shared" si="372"/>
        <v>-105.86999999999989</v>
      </c>
      <c r="AA74" s="104">
        <f t="shared" si="372"/>
        <v>-371.55999999999995</v>
      </c>
      <c r="AB74" s="104">
        <f t="shared" si="372"/>
        <v>77.890000000000327</v>
      </c>
      <c r="AC74" s="104">
        <f t="shared" si="372"/>
        <v>-119.56999999999971</v>
      </c>
      <c r="AD74" s="104">
        <f t="shared" si="372"/>
        <v>-797.9699999999998</v>
      </c>
      <c r="AE74" s="104">
        <f t="shared" si="372"/>
        <v>771.65999999999985</v>
      </c>
      <c r="AF74" s="104">
        <f t="shared" si="372"/>
        <v>-94.340000000000146</v>
      </c>
      <c r="AG74" s="106">
        <f t="shared" si="372"/>
        <v>-4610.8700000000008</v>
      </c>
      <c r="AH74" s="168">
        <v>13016.44</v>
      </c>
      <c r="AI74" s="104">
        <v>15108.74</v>
      </c>
      <c r="AJ74" s="104">
        <v>16438.900000000001</v>
      </c>
      <c r="AK74" s="104">
        <v>9157.2000000000007</v>
      </c>
      <c r="AL74" s="104">
        <v>3524.43</v>
      </c>
      <c r="AM74" s="104">
        <v>2682.02</v>
      </c>
      <c r="AN74" s="104">
        <v>2658.89</v>
      </c>
      <c r="AO74" s="104">
        <v>2369.4499999999998</v>
      </c>
      <c r="AP74" s="104">
        <v>2411.52</v>
      </c>
      <c r="AQ74" s="104">
        <v>3410.11</v>
      </c>
      <c r="AR74" s="104">
        <v>11665.52</v>
      </c>
      <c r="AS74" s="106">
        <v>16182.17</v>
      </c>
      <c r="AT74" s="168">
        <f t="shared" ref="AT74:AT77" si="388">L74-AH74</f>
        <v>2319.0399999999991</v>
      </c>
      <c r="AU74" s="104">
        <f t="shared" si="373"/>
        <v>-1482.8799999999992</v>
      </c>
      <c r="AV74" s="104">
        <f t="shared" si="373"/>
        <v>-4428.0200000000023</v>
      </c>
      <c r="AW74" s="104">
        <f t="shared" si="373"/>
        <v>1867.6499999999996</v>
      </c>
      <c r="AX74" s="104">
        <f t="shared" si="373"/>
        <v>1665.9900000000002</v>
      </c>
      <c r="AY74" s="104">
        <f t="shared" si="373"/>
        <v>680.05000000000018</v>
      </c>
      <c r="AZ74" s="104">
        <f t="shared" si="373"/>
        <v>164.09999999999991</v>
      </c>
      <c r="BA74" s="104">
        <f t="shared" si="373"/>
        <v>452.02</v>
      </c>
      <c r="BB74" s="104">
        <f t="shared" si="373"/>
        <v>1201.4299999999998</v>
      </c>
      <c r="BC74" s="104">
        <f t="shared" si="373"/>
        <v>1042.23</v>
      </c>
      <c r="BD74" s="104">
        <f t="shared" si="373"/>
        <v>-2191.7200000000012</v>
      </c>
      <c r="BE74" s="106">
        <f t="shared" si="373"/>
        <v>824.94000000000051</v>
      </c>
      <c r="BF74" s="168">
        <v>19400.583999999999</v>
      </c>
      <c r="BG74" s="104">
        <v>15011.36</v>
      </c>
      <c r="BH74" s="104">
        <v>12092.886</v>
      </c>
      <c r="BI74" s="104">
        <v>7126.2719999999999</v>
      </c>
      <c r="BJ74" s="104">
        <v>4117.3180000000002</v>
      </c>
      <c r="BK74" s="104">
        <v>2488.5239999999999</v>
      </c>
      <c r="BL74" s="104">
        <v>1784.6690000000001</v>
      </c>
      <c r="BM74" s="104">
        <v>2114.62</v>
      </c>
      <c r="BN74" s="104">
        <v>2116.248</v>
      </c>
      <c r="BO74" s="104">
        <v>3793.049</v>
      </c>
      <c r="BP74" s="104">
        <v>0</v>
      </c>
      <c r="BQ74" s="106">
        <v>13893.525</v>
      </c>
      <c r="BR74" s="168">
        <f t="shared" si="374"/>
        <v>-6384.1439999999984</v>
      </c>
      <c r="BS74" s="104">
        <f t="shared" si="375"/>
        <v>97.3799999999992</v>
      </c>
      <c r="BT74" s="104">
        <f t="shared" si="376"/>
        <v>4346.014000000001</v>
      </c>
      <c r="BU74" s="104">
        <f t="shared" si="377"/>
        <v>2030.9280000000008</v>
      </c>
      <c r="BV74" s="104">
        <f t="shared" si="378"/>
        <v>-592.88800000000037</v>
      </c>
      <c r="BW74" s="104">
        <f t="shared" si="379"/>
        <v>193.49600000000009</v>
      </c>
      <c r="BX74" s="104">
        <f t="shared" si="380"/>
        <v>874.22099999999978</v>
      </c>
      <c r="BY74" s="104">
        <f t="shared" si="381"/>
        <v>254.82999999999993</v>
      </c>
      <c r="BZ74" s="104">
        <f t="shared" si="382"/>
        <v>295.27199999999993</v>
      </c>
      <c r="CA74" s="104">
        <f t="shared" si="383"/>
        <v>-382.93899999999985</v>
      </c>
      <c r="CB74" s="104">
        <f t="shared" si="384"/>
        <v>11665.52</v>
      </c>
      <c r="CC74" s="106">
        <f t="shared" si="385"/>
        <v>2288.6450000000004</v>
      </c>
      <c r="CD74" s="168">
        <v>13703.432000000001</v>
      </c>
      <c r="CE74" s="104">
        <v>19962.54</v>
      </c>
      <c r="CF74" s="104">
        <v>139934.81</v>
      </c>
      <c r="CG74" s="104">
        <v>6728.09</v>
      </c>
      <c r="CH74" s="104">
        <v>4044.43</v>
      </c>
      <c r="CI74" s="104">
        <v>3119.07</v>
      </c>
      <c r="CJ74" s="104">
        <v>1896.05</v>
      </c>
      <c r="CK74" s="104">
        <v>2059.33</v>
      </c>
      <c r="CL74" s="104">
        <v>2355.7800000000002</v>
      </c>
      <c r="CM74" s="104">
        <f>7+3224</f>
        <v>3231</v>
      </c>
      <c r="CN74" s="104">
        <f>8+8239</f>
        <v>8247</v>
      </c>
      <c r="CO74" s="106">
        <v>23261</v>
      </c>
      <c r="CP74" s="165">
        <f t="shared" si="386"/>
        <v>-5697.1519999999982</v>
      </c>
      <c r="CQ74" s="100">
        <f t="shared" si="386"/>
        <v>4951.18</v>
      </c>
      <c r="CR74" s="100">
        <f t="shared" si="386"/>
        <v>127841.924</v>
      </c>
      <c r="CS74" s="100">
        <f t="shared" si="386"/>
        <v>-398.18199999999979</v>
      </c>
      <c r="CT74" s="100">
        <f t="shared" si="386"/>
        <v>-72.888000000000375</v>
      </c>
      <c r="CU74" s="100">
        <f t="shared" si="386"/>
        <v>630.54600000000028</v>
      </c>
      <c r="CV74" s="100">
        <f t="shared" si="386"/>
        <v>111.38099999999986</v>
      </c>
      <c r="CW74" s="100">
        <f t="shared" si="386"/>
        <v>-55.289999999999964</v>
      </c>
      <c r="CX74" s="100">
        <f t="shared" si="386"/>
        <v>239.53200000000015</v>
      </c>
      <c r="CY74" s="100">
        <f t="shared" si="386"/>
        <v>-562.04899999999998</v>
      </c>
      <c r="CZ74" s="100">
        <f t="shared" si="386"/>
        <v>8247</v>
      </c>
      <c r="DA74" s="200">
        <f t="shared" si="386"/>
        <v>9367.4750000000004</v>
      </c>
      <c r="DB74" s="168">
        <f>276+22409</f>
        <v>22685</v>
      </c>
      <c r="DC74" s="104">
        <f>309+23647</f>
        <v>23956</v>
      </c>
      <c r="DD74" s="104">
        <v>26466</v>
      </c>
      <c r="DE74" s="104">
        <f>285+17104</f>
        <v>17389</v>
      </c>
      <c r="DF74" s="104">
        <f>191+9004</f>
        <v>9195</v>
      </c>
      <c r="DG74" s="104">
        <v>4154</v>
      </c>
      <c r="DH74" s="104">
        <v>2861</v>
      </c>
      <c r="DI74" s="104">
        <v>3057</v>
      </c>
      <c r="DJ74" s="104">
        <v>3493</v>
      </c>
      <c r="DK74" s="104">
        <v>6454</v>
      </c>
      <c r="DL74" s="104">
        <v>11672</v>
      </c>
      <c r="DM74" s="106"/>
      <c r="DN74" s="104">
        <f t="shared" ref="DN74:DN77" si="389">DB74-CD74</f>
        <v>8981.5679999999993</v>
      </c>
      <c r="DO74" s="104">
        <f t="shared" si="387"/>
        <v>3993.4599999999991</v>
      </c>
      <c r="DP74" s="104">
        <f t="shared" si="387"/>
        <v>-113468.81</v>
      </c>
      <c r="DQ74" s="104">
        <f t="shared" si="387"/>
        <v>10660.91</v>
      </c>
      <c r="DR74" s="104">
        <f t="shared" si="387"/>
        <v>5150.57</v>
      </c>
      <c r="DS74" s="104">
        <f t="shared" si="387"/>
        <v>1034.9299999999998</v>
      </c>
      <c r="DT74" s="104">
        <f t="shared" si="387"/>
        <v>964.95</v>
      </c>
      <c r="DU74" s="104">
        <f t="shared" si="387"/>
        <v>997.67000000000007</v>
      </c>
      <c r="DV74" s="104">
        <f t="shared" si="387"/>
        <v>1137.2199999999998</v>
      </c>
      <c r="DW74" s="104">
        <f t="shared" si="387"/>
        <v>3223</v>
      </c>
      <c r="DX74" s="104">
        <f t="shared" si="387"/>
        <v>3425</v>
      </c>
      <c r="DY74" s="106">
        <f t="shared" si="387"/>
        <v>-23261</v>
      </c>
    </row>
    <row r="75" spans="1:129" x14ac:dyDescent="0.25">
      <c r="A75" s="19" t="s">
        <v>36</v>
      </c>
      <c r="B75" s="168">
        <v>122728.26</v>
      </c>
      <c r="C75" s="104">
        <v>72701.86</v>
      </c>
      <c r="D75" s="104">
        <v>34957.949999999997</v>
      </c>
      <c r="E75" s="104">
        <v>21340.31</v>
      </c>
      <c r="F75" s="104">
        <v>20201.32</v>
      </c>
      <c r="G75" s="104">
        <v>20183.310000000001</v>
      </c>
      <c r="H75" s="104">
        <v>19164.45</v>
      </c>
      <c r="I75" s="104">
        <v>30060.639999999999</v>
      </c>
      <c r="J75" s="104">
        <v>55659.15</v>
      </c>
      <c r="K75" s="104">
        <v>85962.240000000005</v>
      </c>
      <c r="L75" s="168">
        <v>102309.03</v>
      </c>
      <c r="M75" s="104">
        <v>84980.29</v>
      </c>
      <c r="N75" s="104">
        <v>66939.490000000005</v>
      </c>
      <c r="O75" s="104">
        <v>50102.51</v>
      </c>
      <c r="P75" s="104">
        <v>24313.599999999999</v>
      </c>
      <c r="Q75" s="104">
        <v>17206.419999999998</v>
      </c>
      <c r="R75" s="104">
        <v>15466.46</v>
      </c>
      <c r="S75" s="104">
        <v>15760.55</v>
      </c>
      <c r="T75" s="104">
        <v>21939.87</v>
      </c>
      <c r="U75" s="104">
        <v>23020.49</v>
      </c>
      <c r="V75" s="104">
        <v>47388.08</v>
      </c>
      <c r="W75" s="104">
        <v>85680.89</v>
      </c>
      <c r="X75" s="168">
        <f t="shared" si="372"/>
        <v>55788.76999999999</v>
      </c>
      <c r="Y75" s="104">
        <f t="shared" si="372"/>
        <v>22599.35</v>
      </c>
      <c r="Z75" s="104">
        <f t="shared" si="372"/>
        <v>10644.349999999999</v>
      </c>
      <c r="AA75" s="104">
        <f t="shared" si="372"/>
        <v>4133.8900000000031</v>
      </c>
      <c r="AB75" s="104">
        <f t="shared" si="372"/>
        <v>4734.8600000000006</v>
      </c>
      <c r="AC75" s="104">
        <f t="shared" si="372"/>
        <v>4422.760000000002</v>
      </c>
      <c r="AD75" s="104">
        <f t="shared" si="372"/>
        <v>-2775.4199999999983</v>
      </c>
      <c r="AE75" s="104">
        <f t="shared" si="372"/>
        <v>7040.1499999999978</v>
      </c>
      <c r="AF75" s="104">
        <f t="shared" si="372"/>
        <v>8271.07</v>
      </c>
      <c r="AG75" s="106">
        <f t="shared" si="372"/>
        <v>281.35000000000582</v>
      </c>
      <c r="AH75" s="168">
        <v>68215.12</v>
      </c>
      <c r="AI75" s="104">
        <v>83690.14</v>
      </c>
      <c r="AJ75" s="104">
        <v>63301.95</v>
      </c>
      <c r="AK75" s="104">
        <v>40791.980000000003</v>
      </c>
      <c r="AL75" s="104">
        <v>18920.13</v>
      </c>
      <c r="AM75" s="104">
        <v>15221.07</v>
      </c>
      <c r="AN75" s="104">
        <v>17570.64</v>
      </c>
      <c r="AO75" s="104">
        <v>14266.88</v>
      </c>
      <c r="AP75" s="104">
        <v>15524.4</v>
      </c>
      <c r="AQ75" s="104">
        <v>26762.15</v>
      </c>
      <c r="AR75" s="104">
        <v>96507.37</v>
      </c>
      <c r="AS75" s="106">
        <v>137760.98000000001</v>
      </c>
      <c r="AT75" s="168">
        <f t="shared" si="388"/>
        <v>34093.910000000003</v>
      </c>
      <c r="AU75" s="104">
        <f t="shared" si="373"/>
        <v>1290.1499999999942</v>
      </c>
      <c r="AV75" s="104">
        <f t="shared" si="373"/>
        <v>3637.5400000000081</v>
      </c>
      <c r="AW75" s="104">
        <f t="shared" si="373"/>
        <v>9310.5299999999988</v>
      </c>
      <c r="AX75" s="104">
        <f t="shared" si="373"/>
        <v>5393.4699999999975</v>
      </c>
      <c r="AY75" s="104">
        <f t="shared" si="373"/>
        <v>1985.3499999999985</v>
      </c>
      <c r="AZ75" s="104">
        <f t="shared" si="373"/>
        <v>-2104.1800000000003</v>
      </c>
      <c r="BA75" s="104">
        <f t="shared" si="373"/>
        <v>1493.67</v>
      </c>
      <c r="BB75" s="104">
        <f t="shared" si="373"/>
        <v>6415.4699999999993</v>
      </c>
      <c r="BC75" s="104">
        <f t="shared" si="373"/>
        <v>-3741.66</v>
      </c>
      <c r="BD75" s="104">
        <f t="shared" si="373"/>
        <v>-49119.289999999994</v>
      </c>
      <c r="BE75" s="106">
        <f t="shared" si="373"/>
        <v>-52080.090000000011</v>
      </c>
      <c r="BF75" s="168">
        <v>128726.53599999999</v>
      </c>
      <c r="BG75" s="104">
        <v>109992.235</v>
      </c>
      <c r="BH75" s="104">
        <v>90048.657000000007</v>
      </c>
      <c r="BI75" s="104">
        <v>45823.671000000002</v>
      </c>
      <c r="BJ75" s="104">
        <v>27553.474999999999</v>
      </c>
      <c r="BK75" s="104">
        <v>16491.481</v>
      </c>
      <c r="BL75" s="104">
        <v>10550.883</v>
      </c>
      <c r="BM75" s="104">
        <v>13284.092000000001</v>
      </c>
      <c r="BN75" s="104">
        <v>13721.393</v>
      </c>
      <c r="BO75" s="104">
        <v>25973.805</v>
      </c>
      <c r="BP75" s="104">
        <v>0</v>
      </c>
      <c r="BQ75" s="106">
        <v>84547.764999999999</v>
      </c>
      <c r="BR75" s="168">
        <f t="shared" si="374"/>
        <v>-60511.415999999997</v>
      </c>
      <c r="BS75" s="104">
        <f t="shared" si="375"/>
        <v>-26302.095000000001</v>
      </c>
      <c r="BT75" s="104">
        <f t="shared" si="376"/>
        <v>-26746.707000000009</v>
      </c>
      <c r="BU75" s="104">
        <f t="shared" si="377"/>
        <v>-5031.6909999999989</v>
      </c>
      <c r="BV75" s="104">
        <f t="shared" si="378"/>
        <v>-8633.3449999999975</v>
      </c>
      <c r="BW75" s="104">
        <f t="shared" si="379"/>
        <v>-1270.4110000000001</v>
      </c>
      <c r="BX75" s="104">
        <f t="shared" si="380"/>
        <v>7019.7569999999996</v>
      </c>
      <c r="BY75" s="104">
        <f t="shared" si="381"/>
        <v>982.78799999999865</v>
      </c>
      <c r="BZ75" s="104">
        <f t="shared" si="382"/>
        <v>1803.0069999999996</v>
      </c>
      <c r="CA75" s="104">
        <f t="shared" si="383"/>
        <v>788.34500000000116</v>
      </c>
      <c r="CB75" s="104">
        <f t="shared" si="384"/>
        <v>96507.37</v>
      </c>
      <c r="CC75" s="106">
        <f t="shared" si="385"/>
        <v>53213.215000000011</v>
      </c>
      <c r="CD75" s="168">
        <v>81153.800600000002</v>
      </c>
      <c r="CE75" s="104">
        <v>77397.36</v>
      </c>
      <c r="CF75" s="104">
        <v>87604.682000000001</v>
      </c>
      <c r="CG75" s="104">
        <v>39979.85</v>
      </c>
      <c r="CH75" s="104">
        <v>24383.1</v>
      </c>
      <c r="CI75" s="104">
        <v>19421.14</v>
      </c>
      <c r="CJ75" s="104">
        <v>11441.31</v>
      </c>
      <c r="CK75" s="104">
        <v>12953.3</v>
      </c>
      <c r="CL75" s="104">
        <v>15185.45</v>
      </c>
      <c r="CM75" s="104">
        <f>2036+6589</f>
        <v>8625</v>
      </c>
      <c r="CN75" s="104">
        <f>11288+7095</f>
        <v>18383</v>
      </c>
      <c r="CO75" s="106">
        <v>32834</v>
      </c>
      <c r="CP75" s="165">
        <f t="shared" si="386"/>
        <v>-47572.73539999999</v>
      </c>
      <c r="CQ75" s="100">
        <f t="shared" si="386"/>
        <v>-32594.875</v>
      </c>
      <c r="CR75" s="100">
        <f t="shared" si="386"/>
        <v>-2443.9750000000058</v>
      </c>
      <c r="CS75" s="100">
        <f t="shared" si="386"/>
        <v>-5843.8210000000036</v>
      </c>
      <c r="CT75" s="100">
        <f t="shared" si="386"/>
        <v>-3170.375</v>
      </c>
      <c r="CU75" s="100">
        <f t="shared" si="386"/>
        <v>2929.6589999999997</v>
      </c>
      <c r="CV75" s="100">
        <f t="shared" si="386"/>
        <v>890.42699999999968</v>
      </c>
      <c r="CW75" s="100">
        <f t="shared" si="386"/>
        <v>-330.79200000000128</v>
      </c>
      <c r="CX75" s="100">
        <f t="shared" si="386"/>
        <v>1464.0570000000007</v>
      </c>
      <c r="CY75" s="100">
        <f t="shared" si="386"/>
        <v>-17348.805</v>
      </c>
      <c r="CZ75" s="100">
        <f t="shared" si="386"/>
        <v>18383</v>
      </c>
      <c r="DA75" s="200">
        <f t="shared" si="386"/>
        <v>-51713.764999999999</v>
      </c>
      <c r="DB75" s="168">
        <f>27533+7344</f>
        <v>34877</v>
      </c>
      <c r="DC75" s="104">
        <f>30106+11878</f>
        <v>41984</v>
      </c>
      <c r="DD75" s="104">
        <v>24511</v>
      </c>
      <c r="DE75" s="104">
        <f>18672+11578</f>
        <v>30250</v>
      </c>
      <c r="DF75" s="104">
        <f>9418+6973</f>
        <v>16391</v>
      </c>
      <c r="DG75" s="104">
        <v>8539</v>
      </c>
      <c r="DH75" s="104">
        <v>5750</v>
      </c>
      <c r="DI75" s="104">
        <v>6940</v>
      </c>
      <c r="DJ75" s="104">
        <v>8071</v>
      </c>
      <c r="DK75" s="104">
        <v>10116</v>
      </c>
      <c r="DL75" s="104">
        <v>18408</v>
      </c>
      <c r="DM75" s="106"/>
      <c r="DN75" s="104">
        <f t="shared" si="389"/>
        <v>-46276.800600000002</v>
      </c>
      <c r="DO75" s="104">
        <f t="shared" si="387"/>
        <v>-35413.360000000001</v>
      </c>
      <c r="DP75" s="104">
        <f t="shared" si="387"/>
        <v>-63093.682000000001</v>
      </c>
      <c r="DQ75" s="104">
        <f t="shared" si="387"/>
        <v>-9729.8499999999985</v>
      </c>
      <c r="DR75" s="104">
        <f t="shared" si="387"/>
        <v>-7992.0999999999985</v>
      </c>
      <c r="DS75" s="104">
        <f t="shared" si="387"/>
        <v>-10882.14</v>
      </c>
      <c r="DT75" s="104">
        <f t="shared" si="387"/>
        <v>-5691.3099999999995</v>
      </c>
      <c r="DU75" s="104">
        <f t="shared" si="387"/>
        <v>-6013.2999999999993</v>
      </c>
      <c r="DV75" s="104">
        <f t="shared" si="387"/>
        <v>-7114.4500000000007</v>
      </c>
      <c r="DW75" s="104">
        <f t="shared" si="387"/>
        <v>1491</v>
      </c>
      <c r="DX75" s="104">
        <f t="shared" si="387"/>
        <v>25</v>
      </c>
      <c r="DY75" s="106">
        <f t="shared" si="387"/>
        <v>-32834</v>
      </c>
    </row>
    <row r="76" spans="1:129" x14ac:dyDescent="0.25">
      <c r="A76" s="19" t="s">
        <v>37</v>
      </c>
      <c r="B76" s="168">
        <v>0</v>
      </c>
      <c r="C76" s="104">
        <v>0</v>
      </c>
      <c r="D76" s="104">
        <v>0</v>
      </c>
      <c r="E76" s="104">
        <v>0</v>
      </c>
      <c r="F76" s="104">
        <v>0</v>
      </c>
      <c r="G76" s="104">
        <v>0</v>
      </c>
      <c r="H76" s="104">
        <v>0</v>
      </c>
      <c r="I76" s="104">
        <v>0</v>
      </c>
      <c r="J76" s="104">
        <v>0</v>
      </c>
      <c r="K76" s="104">
        <v>0</v>
      </c>
      <c r="L76" s="168">
        <v>0</v>
      </c>
      <c r="M76" s="104">
        <v>0</v>
      </c>
      <c r="N76" s="104">
        <v>0</v>
      </c>
      <c r="O76" s="104">
        <v>0</v>
      </c>
      <c r="P76" s="104">
        <v>0</v>
      </c>
      <c r="Q76" s="104">
        <v>0</v>
      </c>
      <c r="R76" s="104">
        <v>0</v>
      </c>
      <c r="S76" s="104">
        <v>0</v>
      </c>
      <c r="T76" s="104">
        <v>0</v>
      </c>
      <c r="U76" s="104">
        <v>0</v>
      </c>
      <c r="V76" s="104">
        <v>0</v>
      </c>
      <c r="W76" s="104">
        <v>0</v>
      </c>
      <c r="X76" s="168">
        <f t="shared" si="372"/>
        <v>0</v>
      </c>
      <c r="Y76" s="104">
        <f t="shared" si="372"/>
        <v>0</v>
      </c>
      <c r="Z76" s="104">
        <f t="shared" si="372"/>
        <v>0</v>
      </c>
      <c r="AA76" s="104">
        <f t="shared" si="372"/>
        <v>0</v>
      </c>
      <c r="AB76" s="104">
        <f t="shared" si="372"/>
        <v>0</v>
      </c>
      <c r="AC76" s="104">
        <f t="shared" si="372"/>
        <v>0</v>
      </c>
      <c r="AD76" s="104">
        <f t="shared" si="372"/>
        <v>0</v>
      </c>
      <c r="AE76" s="104">
        <f t="shared" si="372"/>
        <v>0</v>
      </c>
      <c r="AF76" s="104">
        <f t="shared" si="372"/>
        <v>0</v>
      </c>
      <c r="AG76" s="106">
        <f t="shared" si="372"/>
        <v>0</v>
      </c>
      <c r="AH76" s="168">
        <v>0</v>
      </c>
      <c r="AI76" s="104">
        <v>0</v>
      </c>
      <c r="AJ76" s="104">
        <v>0</v>
      </c>
      <c r="AK76" s="104">
        <v>0</v>
      </c>
      <c r="AL76" s="104">
        <v>0</v>
      </c>
      <c r="AM76" s="104">
        <v>0</v>
      </c>
      <c r="AN76" s="104">
        <v>0</v>
      </c>
      <c r="AO76" s="104">
        <v>0</v>
      </c>
      <c r="AP76" s="104">
        <v>0</v>
      </c>
      <c r="AQ76" s="104">
        <v>0</v>
      </c>
      <c r="AR76" s="104">
        <v>0</v>
      </c>
      <c r="AS76" s="106">
        <v>0</v>
      </c>
      <c r="AT76" s="168">
        <f t="shared" si="388"/>
        <v>0</v>
      </c>
      <c r="AU76" s="104">
        <f t="shared" si="373"/>
        <v>0</v>
      </c>
      <c r="AV76" s="104">
        <f t="shared" si="373"/>
        <v>0</v>
      </c>
      <c r="AW76" s="104">
        <f t="shared" si="373"/>
        <v>0</v>
      </c>
      <c r="AX76" s="104">
        <f t="shared" si="373"/>
        <v>0</v>
      </c>
      <c r="AY76" s="104">
        <f t="shared" si="373"/>
        <v>0</v>
      </c>
      <c r="AZ76" s="104">
        <f t="shared" si="373"/>
        <v>0</v>
      </c>
      <c r="BA76" s="104">
        <f t="shared" si="373"/>
        <v>0</v>
      </c>
      <c r="BB76" s="104">
        <f t="shared" si="373"/>
        <v>0</v>
      </c>
      <c r="BC76" s="104">
        <f t="shared" si="373"/>
        <v>0</v>
      </c>
      <c r="BD76" s="104">
        <f t="shared" si="373"/>
        <v>0</v>
      </c>
      <c r="BE76" s="106">
        <f t="shared" si="373"/>
        <v>0</v>
      </c>
      <c r="BF76" s="168">
        <v>0</v>
      </c>
      <c r="BG76" s="104">
        <v>0</v>
      </c>
      <c r="BH76" s="104">
        <v>0</v>
      </c>
      <c r="BI76" s="104">
        <v>0</v>
      </c>
      <c r="BJ76" s="104">
        <v>0</v>
      </c>
      <c r="BK76" s="104">
        <v>0</v>
      </c>
      <c r="BL76" s="104">
        <v>0</v>
      </c>
      <c r="BM76" s="104">
        <v>0</v>
      </c>
      <c r="BN76" s="104">
        <v>0</v>
      </c>
      <c r="BO76" s="104">
        <v>0</v>
      </c>
      <c r="BP76" s="104">
        <v>0</v>
      </c>
      <c r="BQ76" s="106">
        <v>0</v>
      </c>
      <c r="BR76" s="168">
        <f t="shared" si="374"/>
        <v>0</v>
      </c>
      <c r="BS76" s="104">
        <f t="shared" si="375"/>
        <v>0</v>
      </c>
      <c r="BT76" s="104">
        <f t="shared" si="376"/>
        <v>0</v>
      </c>
      <c r="BU76" s="104">
        <f t="shared" si="377"/>
        <v>0</v>
      </c>
      <c r="BV76" s="104">
        <f t="shared" si="378"/>
        <v>0</v>
      </c>
      <c r="BW76" s="104">
        <f t="shared" si="379"/>
        <v>0</v>
      </c>
      <c r="BX76" s="104">
        <f t="shared" si="380"/>
        <v>0</v>
      </c>
      <c r="BY76" s="104">
        <f t="shared" si="381"/>
        <v>0</v>
      </c>
      <c r="BZ76" s="104">
        <f t="shared" si="382"/>
        <v>0</v>
      </c>
      <c r="CA76" s="104">
        <f t="shared" si="383"/>
        <v>0</v>
      </c>
      <c r="CB76" s="104">
        <f t="shared" si="384"/>
        <v>0</v>
      </c>
      <c r="CC76" s="106">
        <f t="shared" si="385"/>
        <v>0</v>
      </c>
      <c r="CD76" s="168">
        <v>0</v>
      </c>
      <c r="CE76" s="104">
        <v>0</v>
      </c>
      <c r="CF76" s="104">
        <v>0</v>
      </c>
      <c r="CG76" s="104">
        <v>0</v>
      </c>
      <c r="CH76" s="104">
        <v>0</v>
      </c>
      <c r="CI76" s="104">
        <v>0</v>
      </c>
      <c r="CJ76" s="104">
        <v>0</v>
      </c>
      <c r="CK76" s="104">
        <v>0</v>
      </c>
      <c r="CL76" s="104">
        <v>0</v>
      </c>
      <c r="CM76" s="104">
        <f>4202+3474</f>
        <v>7676</v>
      </c>
      <c r="CN76" s="104">
        <f>16300+4115</f>
        <v>20415</v>
      </c>
      <c r="CO76" s="106">
        <v>22112</v>
      </c>
      <c r="CP76" s="165">
        <f t="shared" si="386"/>
        <v>0</v>
      </c>
      <c r="CQ76" s="100">
        <f t="shared" si="386"/>
        <v>0</v>
      </c>
      <c r="CR76" s="100">
        <f t="shared" si="386"/>
        <v>0</v>
      </c>
      <c r="CS76" s="100">
        <f t="shared" si="386"/>
        <v>0</v>
      </c>
      <c r="CT76" s="100">
        <f t="shared" si="386"/>
        <v>0</v>
      </c>
      <c r="CU76" s="100">
        <f t="shared" si="386"/>
        <v>0</v>
      </c>
      <c r="CV76" s="100">
        <f t="shared" si="386"/>
        <v>0</v>
      </c>
      <c r="CW76" s="100">
        <f t="shared" si="386"/>
        <v>0</v>
      </c>
      <c r="CX76" s="100">
        <f t="shared" si="386"/>
        <v>0</v>
      </c>
      <c r="CY76" s="100">
        <f t="shared" si="386"/>
        <v>7676</v>
      </c>
      <c r="CZ76" s="100">
        <f t="shared" si="386"/>
        <v>20415</v>
      </c>
      <c r="DA76" s="200">
        <f t="shared" si="386"/>
        <v>22112</v>
      </c>
      <c r="DB76" s="168">
        <f>41553+6254</f>
        <v>47807</v>
      </c>
      <c r="DC76" s="104">
        <f>52052+7494</f>
        <v>59546</v>
      </c>
      <c r="DD76" s="104">
        <v>27495</v>
      </c>
      <c r="DE76" s="104">
        <f>56946+9632</f>
        <v>66578</v>
      </c>
      <c r="DF76" s="104">
        <f>5484+2215</f>
        <v>7699</v>
      </c>
      <c r="DG76" s="104">
        <v>12972</v>
      </c>
      <c r="DH76" s="104">
        <v>26232</v>
      </c>
      <c r="DI76" s="104">
        <v>7466</v>
      </c>
      <c r="DJ76" s="104">
        <v>12763</v>
      </c>
      <c r="DK76" s="104">
        <v>13812</v>
      </c>
      <c r="DL76" s="104">
        <v>9922</v>
      </c>
      <c r="DM76" s="106"/>
      <c r="DN76" s="104">
        <f t="shared" si="389"/>
        <v>47807</v>
      </c>
      <c r="DO76" s="104">
        <f t="shared" si="387"/>
        <v>59546</v>
      </c>
      <c r="DP76" s="104">
        <f t="shared" si="387"/>
        <v>27495</v>
      </c>
      <c r="DQ76" s="104">
        <f t="shared" si="387"/>
        <v>66578</v>
      </c>
      <c r="DR76" s="104">
        <f t="shared" si="387"/>
        <v>7699</v>
      </c>
      <c r="DS76" s="104">
        <f t="shared" si="387"/>
        <v>12972</v>
      </c>
      <c r="DT76" s="104">
        <f t="shared" si="387"/>
        <v>26232</v>
      </c>
      <c r="DU76" s="104">
        <f t="shared" si="387"/>
        <v>7466</v>
      </c>
      <c r="DV76" s="104">
        <f t="shared" si="387"/>
        <v>12763</v>
      </c>
      <c r="DW76" s="104">
        <f t="shared" si="387"/>
        <v>6136</v>
      </c>
      <c r="DX76" s="104">
        <f t="shared" si="387"/>
        <v>-10493</v>
      </c>
      <c r="DY76" s="106">
        <f t="shared" si="387"/>
        <v>-22112</v>
      </c>
    </row>
    <row r="77" spans="1:129" x14ac:dyDescent="0.25">
      <c r="A77" s="19" t="s">
        <v>46</v>
      </c>
      <c r="B77" s="168">
        <v>18564.060000000001</v>
      </c>
      <c r="C77" s="104">
        <v>10474.629999999999</v>
      </c>
      <c r="D77" s="104">
        <v>3427.51</v>
      </c>
      <c r="E77" s="104">
        <v>161.21</v>
      </c>
      <c r="F77" s="104">
        <v>0</v>
      </c>
      <c r="G77" s="104">
        <v>0</v>
      </c>
      <c r="H77" s="104">
        <v>2098.12</v>
      </c>
      <c r="I77" s="104">
        <v>14756.12</v>
      </c>
      <c r="J77" s="104">
        <v>30843.78</v>
      </c>
      <c r="K77" s="104">
        <v>42691.92</v>
      </c>
      <c r="L77" s="168">
        <v>53813.94</v>
      </c>
      <c r="M77" s="104">
        <v>43902.54</v>
      </c>
      <c r="N77" s="104">
        <v>27816.73</v>
      </c>
      <c r="O77" s="104">
        <v>7830.5</v>
      </c>
      <c r="P77" s="104">
        <v>1629.11</v>
      </c>
      <c r="Q77" s="104">
        <v>1328.1</v>
      </c>
      <c r="R77" s="104">
        <v>177.39</v>
      </c>
      <c r="S77" s="104">
        <v>294.79000000000002</v>
      </c>
      <c r="T77" s="104">
        <v>1938.1</v>
      </c>
      <c r="U77" s="104">
        <v>10253.629999999999</v>
      </c>
      <c r="V77" s="104">
        <v>33068.550000000003</v>
      </c>
      <c r="W77" s="104">
        <v>54115.040000000001</v>
      </c>
      <c r="X77" s="168">
        <f t="shared" si="372"/>
        <v>-9252.6699999999983</v>
      </c>
      <c r="Y77" s="104">
        <f t="shared" si="372"/>
        <v>2644.1299999999992</v>
      </c>
      <c r="Z77" s="104">
        <f t="shared" si="372"/>
        <v>1798.4000000000003</v>
      </c>
      <c r="AA77" s="104">
        <f t="shared" si="372"/>
        <v>-1166.8899999999999</v>
      </c>
      <c r="AB77" s="104">
        <f t="shared" si="372"/>
        <v>-177.39</v>
      </c>
      <c r="AC77" s="104">
        <f t="shared" si="372"/>
        <v>-294.79000000000002</v>
      </c>
      <c r="AD77" s="104">
        <f t="shared" si="372"/>
        <v>160.01999999999998</v>
      </c>
      <c r="AE77" s="104">
        <f t="shared" si="372"/>
        <v>4502.4900000000016</v>
      </c>
      <c r="AF77" s="104">
        <f t="shared" si="372"/>
        <v>-2224.7700000000041</v>
      </c>
      <c r="AG77" s="106">
        <f t="shared" si="372"/>
        <v>-11423.120000000003</v>
      </c>
      <c r="AH77" s="168">
        <v>41575.24</v>
      </c>
      <c r="AI77" s="104">
        <v>31966.91</v>
      </c>
      <c r="AJ77" s="104">
        <v>30607.439999999999</v>
      </c>
      <c r="AK77" s="104">
        <v>11936.19</v>
      </c>
      <c r="AL77" s="104">
        <v>14237.28</v>
      </c>
      <c r="AM77" s="104">
        <v>3238.48</v>
      </c>
      <c r="AN77" s="104">
        <v>297.26</v>
      </c>
      <c r="AO77" s="104">
        <v>361.45</v>
      </c>
      <c r="AP77" s="104">
        <v>1281.24</v>
      </c>
      <c r="AQ77" s="104">
        <v>0</v>
      </c>
      <c r="AR77" s="104">
        <v>0</v>
      </c>
      <c r="AS77" s="106">
        <v>0</v>
      </c>
      <c r="AT77" s="168">
        <f t="shared" si="388"/>
        <v>12238.700000000004</v>
      </c>
      <c r="AU77" s="104">
        <f t="shared" si="373"/>
        <v>11935.630000000001</v>
      </c>
      <c r="AV77" s="104">
        <f t="shared" si="373"/>
        <v>-2790.7099999999991</v>
      </c>
      <c r="AW77" s="104">
        <f t="shared" si="373"/>
        <v>-4105.6900000000005</v>
      </c>
      <c r="AX77" s="104">
        <f t="shared" si="373"/>
        <v>-12608.17</v>
      </c>
      <c r="AY77" s="104">
        <f t="shared" si="373"/>
        <v>-1910.38</v>
      </c>
      <c r="AZ77" s="104">
        <f t="shared" si="373"/>
        <v>-119.87</v>
      </c>
      <c r="BA77" s="104">
        <f t="shared" si="373"/>
        <v>-66.659999999999968</v>
      </c>
      <c r="BB77" s="104">
        <f t="shared" si="373"/>
        <v>656.8599999999999</v>
      </c>
      <c r="BC77" s="104">
        <f t="shared" si="373"/>
        <v>10253.629999999999</v>
      </c>
      <c r="BD77" s="104">
        <f t="shared" si="373"/>
        <v>33068.550000000003</v>
      </c>
      <c r="BE77" s="106">
        <f t="shared" si="373"/>
        <v>54115.040000000001</v>
      </c>
      <c r="BF77" s="168">
        <v>0</v>
      </c>
      <c r="BG77" s="104">
        <v>0</v>
      </c>
      <c r="BH77" s="104">
        <v>0</v>
      </c>
      <c r="BI77" s="104">
        <v>0</v>
      </c>
      <c r="BJ77" s="104">
        <v>0</v>
      </c>
      <c r="BK77" s="104">
        <v>0</v>
      </c>
      <c r="BL77" s="104">
        <v>0</v>
      </c>
      <c r="BM77" s="104">
        <v>0</v>
      </c>
      <c r="BN77" s="104">
        <v>0</v>
      </c>
      <c r="BO77" s="104">
        <v>0</v>
      </c>
      <c r="BP77" s="104">
        <v>0</v>
      </c>
      <c r="BQ77" s="106">
        <v>0</v>
      </c>
      <c r="BR77" s="168">
        <f t="shared" si="374"/>
        <v>41575.24</v>
      </c>
      <c r="BS77" s="104">
        <f t="shared" si="375"/>
        <v>31966.91</v>
      </c>
      <c r="BT77" s="104">
        <f t="shared" si="376"/>
        <v>30607.439999999999</v>
      </c>
      <c r="BU77" s="104">
        <f t="shared" si="377"/>
        <v>11936.19</v>
      </c>
      <c r="BV77" s="104">
        <f t="shared" si="378"/>
        <v>14237.28</v>
      </c>
      <c r="BW77" s="104">
        <f t="shared" si="379"/>
        <v>3238.48</v>
      </c>
      <c r="BX77" s="104">
        <f t="shared" si="380"/>
        <v>297.26</v>
      </c>
      <c r="BY77" s="104">
        <f t="shared" si="381"/>
        <v>361.45</v>
      </c>
      <c r="BZ77" s="104">
        <f t="shared" si="382"/>
        <v>1281.24</v>
      </c>
      <c r="CA77" s="104">
        <f t="shared" si="383"/>
        <v>0</v>
      </c>
      <c r="CB77" s="104">
        <f t="shared" si="384"/>
        <v>0</v>
      </c>
      <c r="CC77" s="106">
        <f t="shared" si="385"/>
        <v>0</v>
      </c>
      <c r="CD77" s="168">
        <v>0</v>
      </c>
      <c r="CE77" s="104">
        <v>0</v>
      </c>
      <c r="CF77" s="104">
        <v>0</v>
      </c>
      <c r="CG77" s="104">
        <v>0</v>
      </c>
      <c r="CH77" s="104">
        <v>0</v>
      </c>
      <c r="CI77" s="104">
        <v>0</v>
      </c>
      <c r="CJ77" s="104">
        <v>0</v>
      </c>
      <c r="CK77" s="104">
        <v>0</v>
      </c>
      <c r="CL77" s="104">
        <v>0</v>
      </c>
      <c r="CM77" s="104">
        <v>0</v>
      </c>
      <c r="CN77" s="104">
        <v>0</v>
      </c>
      <c r="CO77" s="106">
        <v>0</v>
      </c>
      <c r="CP77" s="165">
        <f t="shared" si="386"/>
        <v>0</v>
      </c>
      <c r="CQ77" s="100">
        <f t="shared" si="386"/>
        <v>0</v>
      </c>
      <c r="CR77" s="100">
        <f t="shared" si="386"/>
        <v>0</v>
      </c>
      <c r="CS77" s="100">
        <f t="shared" si="386"/>
        <v>0</v>
      </c>
      <c r="CT77" s="100">
        <f t="shared" si="386"/>
        <v>0</v>
      </c>
      <c r="CU77" s="100">
        <f t="shared" si="386"/>
        <v>0</v>
      </c>
      <c r="CV77" s="100">
        <f t="shared" si="386"/>
        <v>0</v>
      </c>
      <c r="CW77" s="100">
        <f t="shared" si="386"/>
        <v>0</v>
      </c>
      <c r="CX77" s="100">
        <f t="shared" si="386"/>
        <v>0</v>
      </c>
      <c r="CY77" s="100">
        <f t="shared" si="386"/>
        <v>0</v>
      </c>
      <c r="CZ77" s="100">
        <f t="shared" si="386"/>
        <v>0</v>
      </c>
      <c r="DA77" s="200">
        <f t="shared" si="386"/>
        <v>0</v>
      </c>
      <c r="DB77" s="168">
        <v>0</v>
      </c>
      <c r="DC77" s="104">
        <v>0</v>
      </c>
      <c r="DD77" s="104">
        <v>0</v>
      </c>
      <c r="DE77" s="104">
        <v>0</v>
      </c>
      <c r="DF77" s="104">
        <v>0</v>
      </c>
      <c r="DG77" s="104">
        <v>0</v>
      </c>
      <c r="DH77" s="104">
        <v>0</v>
      </c>
      <c r="DI77" s="104">
        <v>0</v>
      </c>
      <c r="DJ77" s="104">
        <v>0</v>
      </c>
      <c r="DK77" s="104">
        <v>0</v>
      </c>
      <c r="DL77" s="104">
        <v>0</v>
      </c>
      <c r="DM77" s="106"/>
      <c r="DN77" s="104">
        <f t="shared" si="389"/>
        <v>0</v>
      </c>
      <c r="DO77" s="104">
        <f t="shared" si="387"/>
        <v>0</v>
      </c>
      <c r="DP77" s="104">
        <f t="shared" si="387"/>
        <v>0</v>
      </c>
      <c r="DQ77" s="104">
        <f t="shared" si="387"/>
        <v>0</v>
      </c>
      <c r="DR77" s="104">
        <f t="shared" si="387"/>
        <v>0</v>
      </c>
      <c r="DS77" s="104">
        <f t="shared" si="387"/>
        <v>0</v>
      </c>
      <c r="DT77" s="104">
        <f t="shared" si="387"/>
        <v>0</v>
      </c>
      <c r="DU77" s="104">
        <f t="shared" si="387"/>
        <v>0</v>
      </c>
      <c r="DV77" s="104">
        <f t="shared" si="387"/>
        <v>0</v>
      </c>
      <c r="DW77" s="104">
        <f t="shared" si="387"/>
        <v>0</v>
      </c>
      <c r="DX77" s="104">
        <f t="shared" si="387"/>
        <v>0</v>
      </c>
      <c r="DY77" s="106">
        <f t="shared" si="387"/>
        <v>0</v>
      </c>
    </row>
    <row r="78" spans="1:129" x14ac:dyDescent="0.25">
      <c r="A78" s="19" t="s">
        <v>39</v>
      </c>
      <c r="B78" s="168">
        <f>SUM(B73:B77)</f>
        <v>445058.64999999997</v>
      </c>
      <c r="C78" s="104">
        <f t="shared" ref="C78:K78" si="390">SUM(C73:C77)</f>
        <v>266478.07</v>
      </c>
      <c r="D78" s="104">
        <f t="shared" si="390"/>
        <v>136516.58000000002</v>
      </c>
      <c r="E78" s="104">
        <f t="shared" si="390"/>
        <v>80741.77</v>
      </c>
      <c r="F78" s="104">
        <f t="shared" si="390"/>
        <v>73816.51999999999</v>
      </c>
      <c r="G78" s="104">
        <f t="shared" si="390"/>
        <v>76470.400000000009</v>
      </c>
      <c r="H78" s="104">
        <f t="shared" si="390"/>
        <v>77954.47</v>
      </c>
      <c r="I78" s="104">
        <f t="shared" si="390"/>
        <v>145580.51999999999</v>
      </c>
      <c r="J78" s="104">
        <f t="shared" si="390"/>
        <v>279192.12</v>
      </c>
      <c r="K78" s="104">
        <f t="shared" si="390"/>
        <v>419189.99999999994</v>
      </c>
      <c r="L78" s="168">
        <f>SUM(L73:L77)</f>
        <v>495445.48999999993</v>
      </c>
      <c r="M78" s="104">
        <f t="shared" ref="M78:W78" si="391">SUM(M73:M77)</f>
        <v>414566.84999999992</v>
      </c>
      <c r="N78" s="104">
        <f t="shared" si="391"/>
        <v>333624.81</v>
      </c>
      <c r="O78" s="104">
        <f t="shared" si="391"/>
        <v>262890.55000000005</v>
      </c>
      <c r="P78" s="104">
        <f t="shared" si="391"/>
        <v>122366.45</v>
      </c>
      <c r="Q78" s="104">
        <f t="shared" si="391"/>
        <v>82287.63</v>
      </c>
      <c r="R78" s="104">
        <f t="shared" si="391"/>
        <v>67909.789999999994</v>
      </c>
      <c r="S78" s="104">
        <f t="shared" si="391"/>
        <v>68007.239999999991</v>
      </c>
      <c r="T78" s="104">
        <f t="shared" si="391"/>
        <v>93532.849999999991</v>
      </c>
      <c r="U78" s="104">
        <f t="shared" si="391"/>
        <v>117326.11</v>
      </c>
      <c r="V78" s="104">
        <f t="shared" si="391"/>
        <v>257697.32999999996</v>
      </c>
      <c r="W78" s="104">
        <f t="shared" si="391"/>
        <v>448107.75999999995</v>
      </c>
      <c r="X78" s="168">
        <f t="shared" ref="X78" si="392">SUM(X73:X77)</f>
        <v>111433.83999999998</v>
      </c>
      <c r="Y78" s="104">
        <f t="shared" ref="Y78" si="393">SUM(Y73:Y77)</f>
        <v>3587.5199999999841</v>
      </c>
      <c r="Z78" s="104">
        <f t="shared" ref="Z78" si="394">SUM(Z73:Z77)</f>
        <v>14150.13</v>
      </c>
      <c r="AA78" s="104">
        <f t="shared" ref="AA78" si="395">SUM(AA73:AA77)</f>
        <v>-1545.8599999999992</v>
      </c>
      <c r="AB78" s="104">
        <f t="shared" ref="AB78" si="396">SUM(AB73:AB77)</f>
        <v>5906.7300000000032</v>
      </c>
      <c r="AC78" s="104">
        <f t="shared" ref="AC78" si="397">SUM(AC73:AC77)</f>
        <v>8463.1600000000035</v>
      </c>
      <c r="AD78" s="104">
        <f t="shared" ref="AD78" si="398">SUM(AD73:AD77)</f>
        <v>-15578.379999999992</v>
      </c>
      <c r="AE78" s="104">
        <f t="shared" ref="AE78" si="399">SUM(AE73:AE77)</f>
        <v>28254.41</v>
      </c>
      <c r="AF78" s="104">
        <f t="shared" ref="AF78" si="400">SUM(AF73:AF77)</f>
        <v>21494.790000000012</v>
      </c>
      <c r="AG78" s="106">
        <f t="shared" ref="AG78" si="401">SUM(AG73:AG77)</f>
        <v>-28917.759999999995</v>
      </c>
      <c r="AH78" s="168">
        <f>SUM(AH73:AH77)</f>
        <v>376063.08999999997</v>
      </c>
      <c r="AI78" s="104">
        <f t="shared" ref="AI78:AS78" si="402">SUM(AI73:AI77)</f>
        <v>408095.07999999996</v>
      </c>
      <c r="AJ78" s="104">
        <f t="shared" si="402"/>
        <v>347466.6</v>
      </c>
      <c r="AK78" s="104">
        <f t="shared" si="402"/>
        <v>208269.08000000002</v>
      </c>
      <c r="AL78" s="104">
        <f t="shared" si="402"/>
        <v>108019.70999999999</v>
      </c>
      <c r="AM78" s="104">
        <f t="shared" si="402"/>
        <v>79219.409999999989</v>
      </c>
      <c r="AN78" s="104">
        <f t="shared" si="402"/>
        <v>76517.499999999985</v>
      </c>
      <c r="AO78" s="104">
        <f t="shared" si="402"/>
        <v>64331.929999999993</v>
      </c>
      <c r="AP78" s="104">
        <f t="shared" si="402"/>
        <v>69808.86</v>
      </c>
      <c r="AQ78" s="104">
        <f t="shared" si="402"/>
        <v>97576.53</v>
      </c>
      <c r="AR78" s="104">
        <f t="shared" si="402"/>
        <v>344268.35</v>
      </c>
      <c r="AS78" s="106">
        <f t="shared" si="402"/>
        <v>474240.43999999994</v>
      </c>
      <c r="AT78" s="168">
        <f>SUM(AT73:AT77)</f>
        <v>119382.39999999997</v>
      </c>
      <c r="AU78" s="104">
        <f t="shared" ref="AU78" si="403">SUM(AU73:AU77)</f>
        <v>6471.7699999999913</v>
      </c>
      <c r="AV78" s="104">
        <f t="shared" ref="AV78" si="404">SUM(AV73:AV77)</f>
        <v>-13841.789999999999</v>
      </c>
      <c r="AW78" s="104">
        <f t="shared" ref="AW78" si="405">SUM(AW73:AW77)</f>
        <v>54621.470000000008</v>
      </c>
      <c r="AX78" s="104">
        <f t="shared" ref="AX78" si="406">SUM(AX73:AX77)</f>
        <v>14346.740000000011</v>
      </c>
      <c r="AY78" s="104">
        <f t="shared" ref="AY78" si="407">SUM(AY73:AY77)</f>
        <v>3068.220000000003</v>
      </c>
      <c r="AZ78" s="104">
        <f t="shared" ref="AZ78" si="408">SUM(AZ73:AZ77)</f>
        <v>-8607.7100000000028</v>
      </c>
      <c r="BA78" s="104">
        <f t="shared" ref="BA78" si="409">SUM(BA73:BA77)</f>
        <v>3675.309999999999</v>
      </c>
      <c r="BB78" s="104">
        <f t="shared" ref="BB78" si="410">SUM(BB73:BB77)</f>
        <v>23723.989999999998</v>
      </c>
      <c r="BC78" s="104">
        <f t="shared" ref="BC78" si="411">SUM(BC73:BC77)</f>
        <v>19749.579999999987</v>
      </c>
      <c r="BD78" s="104">
        <f t="shared" ref="BD78" si="412">SUM(BD73:BD77)</f>
        <v>-86571.01999999999</v>
      </c>
      <c r="BE78" s="106">
        <f t="shared" ref="BE78" si="413">SUM(BE73:BE77)</f>
        <v>-26132.680000000015</v>
      </c>
      <c r="BF78" s="168">
        <f>SUM(BF73:BF77)</f>
        <v>404342.01899999997</v>
      </c>
      <c r="BG78" s="104">
        <f t="shared" ref="BG78:BI78" si="414">SUM(BG73:BG77)</f>
        <v>342326.88500000001</v>
      </c>
      <c r="BH78" s="104">
        <f t="shared" si="414"/>
        <v>277481.92800000001</v>
      </c>
      <c r="BI78" s="104">
        <f t="shared" si="414"/>
        <v>142067.29300000001</v>
      </c>
      <c r="BJ78" s="104">
        <v>85854.955000000002</v>
      </c>
      <c r="BK78" s="104">
        <v>51764.357000000004</v>
      </c>
      <c r="BL78" s="104">
        <v>35736.86</v>
      </c>
      <c r="BM78" s="104">
        <v>42040.260999999999</v>
      </c>
      <c r="BN78" s="104">
        <v>41784.375999999997</v>
      </c>
      <c r="BO78" s="104">
        <f>SUM(BO73:BO75)</f>
        <v>78916.148000000001</v>
      </c>
      <c r="BP78" s="104"/>
      <c r="BQ78" s="106">
        <f>SUM(BQ73:BQ77)</f>
        <v>276369.05199999997</v>
      </c>
      <c r="BR78" s="168">
        <f>SUM(BR73:BR77)</f>
        <v>-28278.928999999996</v>
      </c>
      <c r="BS78" s="104">
        <f t="shared" ref="BS78:CC78" si="415">SUM(BS73:BS77)</f>
        <v>65768.194999999963</v>
      </c>
      <c r="BT78" s="104">
        <f t="shared" si="415"/>
        <v>69984.671999999977</v>
      </c>
      <c r="BU78" s="104">
        <f t="shared" si="415"/>
        <v>66201.786999999982</v>
      </c>
      <c r="BV78" s="104">
        <f t="shared" si="415"/>
        <v>22164.755000000005</v>
      </c>
      <c r="BW78" s="104">
        <f t="shared" si="415"/>
        <v>27455.052999999996</v>
      </c>
      <c r="BX78" s="104">
        <f t="shared" si="415"/>
        <v>40780.639999999999</v>
      </c>
      <c r="BY78" s="104">
        <f t="shared" si="415"/>
        <v>22291.669000000005</v>
      </c>
      <c r="BZ78" s="104">
        <f t="shared" si="415"/>
        <v>28024.484</v>
      </c>
      <c r="CA78" s="104">
        <f t="shared" si="415"/>
        <v>18660.382000000005</v>
      </c>
      <c r="CB78" s="104">
        <f t="shared" si="415"/>
        <v>344268.35</v>
      </c>
      <c r="CC78" s="106">
        <f t="shared" si="415"/>
        <v>197871.38799999998</v>
      </c>
      <c r="CD78" s="168">
        <f>SUM(CD73:CD77)</f>
        <v>260692.1116</v>
      </c>
      <c r="CE78" s="104">
        <f>SUM(CE73:CE75)</f>
        <v>255916.44699999999</v>
      </c>
      <c r="CF78" s="104">
        <f t="shared" ref="CF78:CI78" si="416">SUM(CF73:CF75)</f>
        <v>408404.79300000006</v>
      </c>
      <c r="CG78" s="104">
        <f t="shared" si="416"/>
        <v>124767.95999999999</v>
      </c>
      <c r="CH78" s="104">
        <f t="shared" si="416"/>
        <v>74838.049999999988</v>
      </c>
      <c r="CI78" s="104">
        <f t="shared" si="416"/>
        <v>61988.549999999996</v>
      </c>
      <c r="CJ78" s="104">
        <v>36644.629999999997</v>
      </c>
      <c r="CK78" s="104">
        <v>39695.660000000003</v>
      </c>
      <c r="CL78" s="104">
        <v>46208.85</v>
      </c>
      <c r="CM78" s="104">
        <f>SUM(CM73:CM77)</f>
        <v>56263</v>
      </c>
      <c r="CN78" s="104">
        <f>SUM(CN73:CN77)</f>
        <v>238090</v>
      </c>
      <c r="CO78" s="106">
        <f>SUM(CO73:CO77)</f>
        <v>344595</v>
      </c>
      <c r="CP78" s="165">
        <f t="shared" si="386"/>
        <v>-143649.90739999997</v>
      </c>
      <c r="CQ78" s="100">
        <f t="shared" si="386"/>
        <v>-86410.438000000024</v>
      </c>
      <c r="CR78" s="100">
        <f t="shared" si="386"/>
        <v>130922.86500000005</v>
      </c>
      <c r="CS78" s="100">
        <f t="shared" si="386"/>
        <v>-17299.333000000013</v>
      </c>
      <c r="CT78" s="100">
        <f t="shared" si="386"/>
        <v>-11016.905000000013</v>
      </c>
      <c r="CU78" s="100">
        <f t="shared" si="386"/>
        <v>10224.192999999992</v>
      </c>
      <c r="CV78" s="100">
        <f t="shared" si="386"/>
        <v>907.7699999999968</v>
      </c>
      <c r="CW78" s="100">
        <f t="shared" si="386"/>
        <v>-2344.6009999999951</v>
      </c>
      <c r="CX78" s="100">
        <f t="shared" si="386"/>
        <v>4424.474000000002</v>
      </c>
      <c r="CY78" s="100">
        <f t="shared" si="386"/>
        <v>-22653.148000000001</v>
      </c>
      <c r="CZ78" s="100">
        <f t="shared" si="386"/>
        <v>238090</v>
      </c>
      <c r="DA78" s="200">
        <f t="shared" si="386"/>
        <v>68225.948000000033</v>
      </c>
      <c r="DB78" s="168">
        <f>SUM(DB73:DB75)</f>
        <v>235693</v>
      </c>
      <c r="DC78" s="104">
        <f>SUM(DC73:DC75)</f>
        <v>251102</v>
      </c>
      <c r="DD78" s="104">
        <f>SUM(DD73:DD77)</f>
        <v>202195</v>
      </c>
      <c r="DE78" s="104">
        <f>SUM(DE73:DE77)</f>
        <v>238271</v>
      </c>
      <c r="DF78" s="104">
        <f t="shared" ref="DF78:DM78" si="417">SUM(DF73:DF75)</f>
        <v>89119</v>
      </c>
      <c r="DG78" s="104">
        <v>45522</v>
      </c>
      <c r="DH78" s="104">
        <f t="shared" si="417"/>
        <v>29400</v>
      </c>
      <c r="DI78" s="104">
        <f t="shared" si="417"/>
        <v>33682</v>
      </c>
      <c r="DJ78" s="104">
        <f t="shared" si="417"/>
        <v>39361</v>
      </c>
      <c r="DK78" s="104">
        <f t="shared" si="417"/>
        <v>62817</v>
      </c>
      <c r="DL78" s="104">
        <f t="shared" si="417"/>
        <v>123460</v>
      </c>
      <c r="DM78" s="106">
        <f t="shared" si="417"/>
        <v>0</v>
      </c>
      <c r="DN78" s="104">
        <f>SUM(DN73:DN77)</f>
        <v>22807.888400000011</v>
      </c>
      <c r="DO78" s="104">
        <f t="shared" ref="DO78:DY78" si="418">SUM(DO73:DO77)</f>
        <v>54731.553000000007</v>
      </c>
      <c r="DP78" s="104">
        <f t="shared" si="418"/>
        <v>-206209.79300000001</v>
      </c>
      <c r="DQ78" s="104">
        <f t="shared" si="418"/>
        <v>113503.04000000001</v>
      </c>
      <c r="DR78" s="104">
        <f t="shared" si="418"/>
        <v>21979.950000000004</v>
      </c>
      <c r="DS78" s="104">
        <f t="shared" si="418"/>
        <v>-3494.5499999999956</v>
      </c>
      <c r="DT78" s="104">
        <f t="shared" si="418"/>
        <v>18987.37</v>
      </c>
      <c r="DU78" s="104">
        <f t="shared" si="418"/>
        <v>1452.340000000002</v>
      </c>
      <c r="DV78" s="104">
        <f t="shared" si="418"/>
        <v>5915.15</v>
      </c>
      <c r="DW78" s="104">
        <f t="shared" si="418"/>
        <v>20366</v>
      </c>
      <c r="DX78" s="104">
        <f t="shared" si="418"/>
        <v>-104708</v>
      </c>
      <c r="DY78" s="106">
        <f t="shared" si="418"/>
        <v>-344595</v>
      </c>
    </row>
    <row r="79" spans="1:129" x14ac:dyDescent="0.25">
      <c r="A79" s="25" t="s">
        <v>32</v>
      </c>
      <c r="B79" s="165"/>
      <c r="C79" s="100"/>
      <c r="D79" s="100"/>
      <c r="E79" s="100"/>
      <c r="F79" s="100"/>
      <c r="G79" s="100"/>
      <c r="H79" s="100"/>
      <c r="I79" s="100"/>
      <c r="J79" s="100"/>
      <c r="K79" s="100"/>
      <c r="L79" s="165"/>
      <c r="M79" s="100"/>
      <c r="N79" s="100"/>
      <c r="O79" s="100"/>
      <c r="P79" s="100"/>
      <c r="Q79" s="100"/>
      <c r="R79" s="100"/>
      <c r="S79" s="100"/>
      <c r="T79" s="100"/>
      <c r="U79" s="100"/>
      <c r="V79" s="100"/>
      <c r="W79" s="100"/>
      <c r="X79" s="165"/>
      <c r="Y79" s="100"/>
      <c r="Z79" s="100"/>
      <c r="AA79" s="100"/>
      <c r="AB79" s="100"/>
      <c r="AC79" s="100"/>
      <c r="AD79" s="100"/>
      <c r="AE79" s="100"/>
      <c r="AF79" s="100"/>
      <c r="AG79" s="200"/>
      <c r="AH79" s="165"/>
      <c r="AI79" s="100"/>
      <c r="AJ79" s="100"/>
      <c r="AK79" s="100"/>
      <c r="AL79" s="100"/>
      <c r="AM79" s="100"/>
      <c r="AN79" s="100"/>
      <c r="AO79" s="100"/>
      <c r="AP79" s="100"/>
      <c r="AQ79" s="100"/>
      <c r="AR79" s="100"/>
      <c r="AS79" s="200"/>
      <c r="AT79" s="165"/>
      <c r="AU79" s="100"/>
      <c r="AV79" s="100"/>
      <c r="AW79" s="100"/>
      <c r="AX79" s="100"/>
      <c r="AY79" s="100"/>
      <c r="AZ79" s="100"/>
      <c r="BA79" s="100"/>
      <c r="BB79" s="100"/>
      <c r="BC79" s="100"/>
      <c r="BD79" s="100"/>
      <c r="BE79" s="200"/>
      <c r="BF79" s="165"/>
      <c r="BG79" s="100"/>
      <c r="BH79" s="100"/>
      <c r="BI79" s="100"/>
      <c r="BJ79" s="100"/>
      <c r="BK79" s="100"/>
      <c r="BL79" s="100"/>
      <c r="BM79" s="100"/>
      <c r="BN79" s="100"/>
      <c r="BO79" s="100"/>
      <c r="BP79" s="100"/>
      <c r="BQ79" s="200"/>
      <c r="BR79" s="165"/>
      <c r="BS79" s="100"/>
      <c r="BT79" s="100"/>
      <c r="BU79" s="100"/>
      <c r="BV79" s="100"/>
      <c r="BW79" s="100"/>
      <c r="BX79" s="100"/>
      <c r="BY79" s="100"/>
      <c r="BZ79" s="100"/>
      <c r="CA79" s="100"/>
      <c r="CB79" s="100"/>
      <c r="CC79" s="200"/>
      <c r="CD79" s="165"/>
      <c r="CE79" s="100"/>
      <c r="CF79" s="100"/>
      <c r="CG79" s="100"/>
      <c r="CH79" s="100"/>
      <c r="CI79" s="100"/>
      <c r="CJ79" s="100"/>
      <c r="CK79" s="100"/>
      <c r="CL79" s="100"/>
      <c r="CM79" s="100"/>
      <c r="CN79" s="100"/>
      <c r="CO79" s="200"/>
      <c r="CP79" s="165"/>
      <c r="CQ79" s="100"/>
      <c r="CR79" s="100"/>
      <c r="CS79" s="100"/>
      <c r="CT79" s="100"/>
      <c r="CU79" s="100"/>
      <c r="CV79" s="100"/>
      <c r="CW79" s="100"/>
      <c r="CX79" s="100"/>
      <c r="CY79" s="100"/>
      <c r="CZ79" s="100"/>
      <c r="DA79" s="200"/>
      <c r="DB79" s="165"/>
      <c r="DC79" s="100"/>
      <c r="DD79" s="100"/>
      <c r="DE79" s="100"/>
      <c r="DF79" s="100"/>
      <c r="DG79" s="100"/>
      <c r="DH79" s="100"/>
      <c r="DI79" s="100"/>
      <c r="DJ79" s="100"/>
      <c r="DK79" s="100"/>
      <c r="DL79" s="100"/>
      <c r="DM79" s="200"/>
      <c r="DN79" s="165"/>
      <c r="DO79" s="100"/>
      <c r="DP79" s="100"/>
      <c r="DQ79" s="100"/>
      <c r="DR79" s="100"/>
      <c r="DS79" s="100"/>
      <c r="DT79" s="100"/>
      <c r="DU79" s="100"/>
      <c r="DV79" s="100"/>
      <c r="DW79" s="100"/>
      <c r="DX79" s="100"/>
      <c r="DY79" s="200"/>
    </row>
    <row r="80" spans="1:129" x14ac:dyDescent="0.25">
      <c r="A80" s="19" t="s">
        <v>34</v>
      </c>
      <c r="B80" s="168">
        <v>290184.34999999998</v>
      </c>
      <c r="C80" s="104">
        <v>173694.58</v>
      </c>
      <c r="D80" s="104">
        <v>93046.57</v>
      </c>
      <c r="E80" s="104">
        <v>56249.74</v>
      </c>
      <c r="F80" s="104">
        <v>50714.32</v>
      </c>
      <c r="G80" s="104">
        <v>53585.19</v>
      </c>
      <c r="H80" s="104">
        <v>53876.92</v>
      </c>
      <c r="I80" s="104">
        <v>95539.76</v>
      </c>
      <c r="J80" s="104">
        <v>183309.73</v>
      </c>
      <c r="K80" s="104">
        <v>278139.59999999998</v>
      </c>
      <c r="L80" s="168">
        <v>323987.03999999998</v>
      </c>
      <c r="M80" s="104">
        <v>272058.15999999997</v>
      </c>
      <c r="N80" s="104">
        <v>226857.71</v>
      </c>
      <c r="O80" s="104">
        <v>193932.69</v>
      </c>
      <c r="P80" s="104">
        <v>91233.32</v>
      </c>
      <c r="Q80" s="104">
        <v>60391.040000000001</v>
      </c>
      <c r="R80" s="104">
        <v>49442.95</v>
      </c>
      <c r="S80" s="104">
        <v>49130.43</v>
      </c>
      <c r="T80" s="104">
        <v>66041.929999999993</v>
      </c>
      <c r="U80" s="104">
        <v>79599.649999999994</v>
      </c>
      <c r="V80" s="104">
        <v>167766.9</v>
      </c>
      <c r="W80" s="104">
        <v>291304.71999999997</v>
      </c>
      <c r="X80" s="168">
        <f t="shared" ref="X80:AG84" si="419">B80-N80</f>
        <v>63326.639999999985</v>
      </c>
      <c r="Y80" s="104">
        <f t="shared" si="419"/>
        <v>-20238.110000000015</v>
      </c>
      <c r="Z80" s="104">
        <f t="shared" si="419"/>
        <v>1813.25</v>
      </c>
      <c r="AA80" s="104">
        <f t="shared" si="419"/>
        <v>-4141.3000000000029</v>
      </c>
      <c r="AB80" s="104">
        <f t="shared" si="419"/>
        <v>1271.3700000000026</v>
      </c>
      <c r="AC80" s="104">
        <f t="shared" si="419"/>
        <v>4454.760000000002</v>
      </c>
      <c r="AD80" s="104">
        <f t="shared" si="419"/>
        <v>-12165.009999999995</v>
      </c>
      <c r="AE80" s="104">
        <f t="shared" si="419"/>
        <v>15940.11</v>
      </c>
      <c r="AF80" s="104">
        <f t="shared" si="419"/>
        <v>15542.830000000016</v>
      </c>
      <c r="AG80" s="106">
        <f t="shared" si="419"/>
        <v>-13165.119999999995</v>
      </c>
      <c r="AH80" s="168">
        <v>253256.29</v>
      </c>
      <c r="AI80" s="104">
        <v>277329.28999999998</v>
      </c>
      <c r="AJ80" s="104">
        <v>237118.31</v>
      </c>
      <c r="AK80" s="104">
        <v>146383.71</v>
      </c>
      <c r="AL80" s="104">
        <v>71337.87</v>
      </c>
      <c r="AM80" s="104">
        <v>58077.84</v>
      </c>
      <c r="AN80" s="104">
        <v>55990.71</v>
      </c>
      <c r="AO80" s="104">
        <v>47334.15</v>
      </c>
      <c r="AP80" s="104">
        <v>50591.7</v>
      </c>
      <c r="AQ80" s="104">
        <v>67404.27</v>
      </c>
      <c r="AR80" s="104">
        <v>236095.46</v>
      </c>
      <c r="AS80" s="106">
        <v>320297.28999999998</v>
      </c>
      <c r="AT80" s="168">
        <f>L80-AH80</f>
        <v>70730.749999999971</v>
      </c>
      <c r="AU80" s="104">
        <f t="shared" ref="AU80:BE84" si="420">M80-AI80</f>
        <v>-5271.1300000000047</v>
      </c>
      <c r="AV80" s="104">
        <f t="shared" si="420"/>
        <v>-10260.600000000006</v>
      </c>
      <c r="AW80" s="104">
        <f t="shared" si="420"/>
        <v>47548.98000000001</v>
      </c>
      <c r="AX80" s="104">
        <f t="shared" si="420"/>
        <v>19895.450000000012</v>
      </c>
      <c r="AY80" s="104">
        <f t="shared" si="420"/>
        <v>2313.2000000000044</v>
      </c>
      <c r="AZ80" s="104">
        <f t="shared" si="420"/>
        <v>-6547.760000000002</v>
      </c>
      <c r="BA80" s="104">
        <f t="shared" si="420"/>
        <v>1796.2799999999988</v>
      </c>
      <c r="BB80" s="104">
        <f t="shared" si="420"/>
        <v>15450.229999999996</v>
      </c>
      <c r="BC80" s="104">
        <f t="shared" si="420"/>
        <v>12195.37999999999</v>
      </c>
      <c r="BD80" s="104">
        <f t="shared" si="420"/>
        <v>-68328.56</v>
      </c>
      <c r="BE80" s="106">
        <f t="shared" si="420"/>
        <v>-28992.570000000007</v>
      </c>
      <c r="BF80" s="168">
        <v>530097.03</v>
      </c>
      <c r="BG80" s="104">
        <v>463399.63</v>
      </c>
      <c r="BH80" s="104">
        <v>376170.26</v>
      </c>
      <c r="BI80" s="104">
        <v>201794.92</v>
      </c>
      <c r="BJ80" s="104">
        <v>94995.16</v>
      </c>
      <c r="BK80" s="104">
        <v>84718.31</v>
      </c>
      <c r="BL80" s="104">
        <v>65931.27</v>
      </c>
      <c r="BM80" s="104">
        <v>62067.32</v>
      </c>
      <c r="BN80" s="104">
        <v>60955.97</v>
      </c>
      <c r="BO80" s="104">
        <v>98148.15</v>
      </c>
      <c r="BP80" s="104">
        <v>114518.685</v>
      </c>
      <c r="BQ80" s="106">
        <v>485420.6</v>
      </c>
      <c r="BR80" s="168">
        <f t="shared" ref="BR80:BR84" si="421">AH80-BF80</f>
        <v>-276840.74</v>
      </c>
      <c r="BS80" s="104">
        <f t="shared" ref="BS80:BS84" si="422">AI80-BG80</f>
        <v>-186070.34000000003</v>
      </c>
      <c r="BT80" s="104">
        <f t="shared" ref="BT80:BT84" si="423">AJ80-BH80</f>
        <v>-139051.95000000001</v>
      </c>
      <c r="BU80" s="104">
        <f t="shared" ref="BU80:BU84" si="424">AK80-BI80</f>
        <v>-55411.210000000021</v>
      </c>
      <c r="BV80" s="104">
        <f t="shared" ref="BV80:BV84" si="425">AL80-BJ80</f>
        <v>-23657.290000000008</v>
      </c>
      <c r="BW80" s="104">
        <f t="shared" ref="BW80:BW84" si="426">AM80-BK80</f>
        <v>-26640.47</v>
      </c>
      <c r="BX80" s="104">
        <f t="shared" ref="BX80:BX84" si="427">AN80-BL80</f>
        <v>-9940.5600000000049</v>
      </c>
      <c r="BY80" s="104">
        <f t="shared" ref="BY80:BY84" si="428">AO80-BM80</f>
        <v>-14733.169999999998</v>
      </c>
      <c r="BZ80" s="104">
        <f t="shared" ref="BZ80:BZ84" si="429">AP80-BN80</f>
        <v>-10364.270000000004</v>
      </c>
      <c r="CA80" s="104">
        <f t="shared" ref="CA80:CA84" si="430">AQ80-BO80</f>
        <v>-30743.87999999999</v>
      </c>
      <c r="CB80" s="104">
        <f t="shared" ref="CB80:CB84" si="431">AR80-BP80</f>
        <v>121576.77499999999</v>
      </c>
      <c r="CC80" s="106">
        <f t="shared" ref="CC80:CC84" si="432">AS80-BQ80</f>
        <v>-165123.31</v>
      </c>
      <c r="CD80" s="168">
        <v>453572.85</v>
      </c>
      <c r="CE80" s="104">
        <v>273551.28999999998</v>
      </c>
      <c r="CF80" s="104">
        <v>309203.17</v>
      </c>
      <c r="CG80" s="104">
        <v>143990.59</v>
      </c>
      <c r="CH80" s="104">
        <v>82558.679999999993</v>
      </c>
      <c r="CI80" s="104">
        <v>73358.17</v>
      </c>
      <c r="CJ80" s="104">
        <v>51365.65</v>
      </c>
      <c r="CK80" s="104">
        <v>52963.55</v>
      </c>
      <c r="CL80" s="104">
        <v>58295.17</v>
      </c>
      <c r="CM80" s="104">
        <f>2671+60913</f>
        <v>63584</v>
      </c>
      <c r="CN80" s="104">
        <f>4695+257619</f>
        <v>262314</v>
      </c>
      <c r="CO80" s="106">
        <v>256416</v>
      </c>
      <c r="CP80" s="104">
        <f t="shared" ref="CP80:DA85" si="433">CD80-BF80</f>
        <v>-76524.180000000051</v>
      </c>
      <c r="CQ80" s="104">
        <f t="shared" si="433"/>
        <v>-189848.34000000003</v>
      </c>
      <c r="CR80" s="104">
        <f t="shared" si="433"/>
        <v>-66967.090000000026</v>
      </c>
      <c r="CS80" s="104">
        <f t="shared" si="433"/>
        <v>-57804.330000000016</v>
      </c>
      <c r="CT80" s="104">
        <f t="shared" si="433"/>
        <v>-12436.48000000001</v>
      </c>
      <c r="CU80" s="104">
        <f t="shared" si="433"/>
        <v>-11360.14</v>
      </c>
      <c r="CV80" s="104">
        <f t="shared" si="433"/>
        <v>-14565.620000000003</v>
      </c>
      <c r="CW80" s="104">
        <f t="shared" si="433"/>
        <v>-9103.7699999999968</v>
      </c>
      <c r="CX80" s="104">
        <f t="shared" si="433"/>
        <v>-2660.8000000000029</v>
      </c>
      <c r="CY80" s="104">
        <f t="shared" si="433"/>
        <v>-34564.149999999994</v>
      </c>
      <c r="CZ80" s="104">
        <f t="shared" si="433"/>
        <v>147795.315</v>
      </c>
      <c r="DA80" s="106">
        <f t="shared" si="433"/>
        <v>-229004.59999999998</v>
      </c>
      <c r="DB80" s="168">
        <f>3693+194255</f>
        <v>197948</v>
      </c>
      <c r="DC80" s="104">
        <f>4204+193566</f>
        <v>197770</v>
      </c>
      <c r="DD80" s="104">
        <v>136602</v>
      </c>
      <c r="DE80" s="104">
        <f>3252+18140</f>
        <v>21392</v>
      </c>
      <c r="DF80" s="104">
        <f>3957+90194</f>
        <v>94151</v>
      </c>
      <c r="DG80" s="104">
        <v>61118</v>
      </c>
      <c r="DH80" s="104">
        <v>105366</v>
      </c>
      <c r="DI80" s="104">
        <v>50230</v>
      </c>
      <c r="DJ80" s="104">
        <v>47751</v>
      </c>
      <c r="DK80" s="104">
        <v>65641</v>
      </c>
      <c r="DL80" s="104">
        <v>141281</v>
      </c>
      <c r="DM80" s="106"/>
      <c r="DN80" s="104">
        <f>DB80-CD80</f>
        <v>-255624.84999999998</v>
      </c>
      <c r="DO80" s="104">
        <f t="shared" ref="DO80:DY84" si="434">DC80-CE80</f>
        <v>-75781.289999999979</v>
      </c>
      <c r="DP80" s="104">
        <f t="shared" si="434"/>
        <v>-172601.16999999998</v>
      </c>
      <c r="DQ80" s="104">
        <f t="shared" si="434"/>
        <v>-122598.59</v>
      </c>
      <c r="DR80" s="104">
        <f t="shared" si="434"/>
        <v>11592.320000000007</v>
      </c>
      <c r="DS80" s="104">
        <f t="shared" si="434"/>
        <v>-12240.169999999998</v>
      </c>
      <c r="DT80" s="104">
        <f t="shared" si="434"/>
        <v>54000.35</v>
      </c>
      <c r="DU80" s="104">
        <f t="shared" si="434"/>
        <v>-2733.5500000000029</v>
      </c>
      <c r="DV80" s="104">
        <f t="shared" si="434"/>
        <v>-10544.169999999998</v>
      </c>
      <c r="DW80" s="104">
        <f t="shared" si="434"/>
        <v>2057</v>
      </c>
      <c r="DX80" s="104">
        <f t="shared" si="434"/>
        <v>-121033</v>
      </c>
      <c r="DY80" s="106">
        <f t="shared" si="434"/>
        <v>-256416</v>
      </c>
    </row>
    <row r="81" spans="1:129" x14ac:dyDescent="0.25">
      <c r="A81" s="19" t="s">
        <v>35</v>
      </c>
      <c r="B81" s="168">
        <v>13581.98</v>
      </c>
      <c r="C81" s="104">
        <v>9607</v>
      </c>
      <c r="D81" s="104">
        <v>5084.55</v>
      </c>
      <c r="E81" s="104">
        <v>2990.51</v>
      </c>
      <c r="F81" s="104">
        <v>2900.88</v>
      </c>
      <c r="G81" s="104">
        <v>2701.9</v>
      </c>
      <c r="H81" s="104">
        <v>2814.98</v>
      </c>
      <c r="I81" s="104">
        <v>5224</v>
      </c>
      <c r="J81" s="104">
        <v>9379.4599999999991</v>
      </c>
      <c r="K81" s="104">
        <v>12396.24</v>
      </c>
      <c r="L81" s="168">
        <v>15335.48</v>
      </c>
      <c r="M81" s="104">
        <v>13625.86</v>
      </c>
      <c r="N81" s="104">
        <v>12010.88</v>
      </c>
      <c r="O81" s="104">
        <v>11024.85</v>
      </c>
      <c r="P81" s="104">
        <v>5190.42</v>
      </c>
      <c r="Q81" s="104">
        <v>3362.07</v>
      </c>
      <c r="R81" s="104">
        <v>2822.99</v>
      </c>
      <c r="S81" s="104">
        <v>2821.47</v>
      </c>
      <c r="T81" s="104">
        <v>3612.95</v>
      </c>
      <c r="U81" s="104">
        <v>4452.34</v>
      </c>
      <c r="V81" s="104">
        <v>9473.7999999999993</v>
      </c>
      <c r="W81" s="104">
        <v>17007.11</v>
      </c>
      <c r="X81" s="168">
        <f t="shared" si="419"/>
        <v>1571.1000000000004</v>
      </c>
      <c r="Y81" s="104">
        <f t="shared" si="419"/>
        <v>-1417.8500000000004</v>
      </c>
      <c r="Z81" s="104">
        <f t="shared" si="419"/>
        <v>-105.86999999999989</v>
      </c>
      <c r="AA81" s="104">
        <f t="shared" si="419"/>
        <v>-371.55999999999995</v>
      </c>
      <c r="AB81" s="104">
        <f t="shared" si="419"/>
        <v>77.890000000000327</v>
      </c>
      <c r="AC81" s="104">
        <f t="shared" si="419"/>
        <v>-119.56999999999971</v>
      </c>
      <c r="AD81" s="104">
        <f t="shared" si="419"/>
        <v>-797.9699999999998</v>
      </c>
      <c r="AE81" s="104">
        <f t="shared" si="419"/>
        <v>771.65999999999985</v>
      </c>
      <c r="AF81" s="104">
        <f t="shared" si="419"/>
        <v>-94.340000000000146</v>
      </c>
      <c r="AG81" s="106">
        <f t="shared" si="419"/>
        <v>-4610.8700000000008</v>
      </c>
      <c r="AH81" s="168">
        <v>13016.44</v>
      </c>
      <c r="AI81" s="104">
        <v>15108.74</v>
      </c>
      <c r="AJ81" s="104">
        <v>16438.900000000001</v>
      </c>
      <c r="AK81" s="104">
        <v>9157.2000000000007</v>
      </c>
      <c r="AL81" s="104">
        <v>3524.43</v>
      </c>
      <c r="AM81" s="104">
        <v>2682.02</v>
      </c>
      <c r="AN81" s="104">
        <v>2658.89</v>
      </c>
      <c r="AO81" s="104">
        <v>2369.4499999999998</v>
      </c>
      <c r="AP81" s="104">
        <v>2411.52</v>
      </c>
      <c r="AQ81" s="104">
        <v>3410.11</v>
      </c>
      <c r="AR81" s="104">
        <v>11665.52</v>
      </c>
      <c r="AS81" s="106">
        <v>16182.17</v>
      </c>
      <c r="AT81" s="168">
        <f t="shared" ref="AT81:AT84" si="435">L81-AH81</f>
        <v>2319.0399999999991</v>
      </c>
      <c r="AU81" s="104">
        <f t="shared" si="420"/>
        <v>-1482.8799999999992</v>
      </c>
      <c r="AV81" s="104">
        <f t="shared" si="420"/>
        <v>-4428.0200000000023</v>
      </c>
      <c r="AW81" s="104">
        <f t="shared" si="420"/>
        <v>1867.6499999999996</v>
      </c>
      <c r="AX81" s="104">
        <f t="shared" si="420"/>
        <v>1665.9900000000002</v>
      </c>
      <c r="AY81" s="104">
        <f t="shared" si="420"/>
        <v>680.05000000000018</v>
      </c>
      <c r="AZ81" s="104">
        <f t="shared" si="420"/>
        <v>164.09999999999991</v>
      </c>
      <c r="BA81" s="104">
        <f t="shared" si="420"/>
        <v>452.02</v>
      </c>
      <c r="BB81" s="104">
        <f t="shared" si="420"/>
        <v>1201.4299999999998</v>
      </c>
      <c r="BC81" s="104">
        <f t="shared" si="420"/>
        <v>1042.23</v>
      </c>
      <c r="BD81" s="104">
        <f t="shared" si="420"/>
        <v>-2191.7200000000012</v>
      </c>
      <c r="BE81" s="106">
        <f t="shared" si="420"/>
        <v>824.94000000000051</v>
      </c>
      <c r="BF81" s="168">
        <v>27096.83</v>
      </c>
      <c r="BG81" s="104">
        <v>31569.08</v>
      </c>
      <c r="BH81" s="104">
        <v>25923.200000000001</v>
      </c>
      <c r="BI81" s="104">
        <v>14984.74</v>
      </c>
      <c r="BJ81" s="104">
        <v>5515.82</v>
      </c>
      <c r="BK81" s="104">
        <v>4899.22</v>
      </c>
      <c r="BL81" s="104">
        <v>3847.83</v>
      </c>
      <c r="BM81" s="104">
        <v>3739.36</v>
      </c>
      <c r="BN81" s="104">
        <v>3721.95</v>
      </c>
      <c r="BO81" s="104">
        <v>5787.07</v>
      </c>
      <c r="BP81" s="104">
        <v>8767.64</v>
      </c>
      <c r="BQ81" s="106">
        <v>28519.17</v>
      </c>
      <c r="BR81" s="168">
        <f t="shared" si="421"/>
        <v>-14080.390000000001</v>
      </c>
      <c r="BS81" s="104">
        <f t="shared" si="422"/>
        <v>-16460.340000000004</v>
      </c>
      <c r="BT81" s="104">
        <f t="shared" si="423"/>
        <v>-9484.2999999999993</v>
      </c>
      <c r="BU81" s="104">
        <f t="shared" si="424"/>
        <v>-5827.5399999999991</v>
      </c>
      <c r="BV81" s="104">
        <f t="shared" si="425"/>
        <v>-1991.3899999999999</v>
      </c>
      <c r="BW81" s="104">
        <f t="shared" si="426"/>
        <v>-2217.2000000000003</v>
      </c>
      <c r="BX81" s="104">
        <f t="shared" si="427"/>
        <v>-1188.94</v>
      </c>
      <c r="BY81" s="104">
        <f t="shared" si="428"/>
        <v>-1369.9100000000003</v>
      </c>
      <c r="BZ81" s="104">
        <f t="shared" si="429"/>
        <v>-1310.4299999999998</v>
      </c>
      <c r="CA81" s="104">
        <f t="shared" si="430"/>
        <v>-2376.9599999999996</v>
      </c>
      <c r="CB81" s="104">
        <f t="shared" si="431"/>
        <v>2897.880000000001</v>
      </c>
      <c r="CC81" s="106">
        <f t="shared" si="432"/>
        <v>-12336.999999999998</v>
      </c>
      <c r="CD81" s="168">
        <v>28128.01</v>
      </c>
      <c r="CE81" s="104">
        <v>16565.09</v>
      </c>
      <c r="CF81" s="104">
        <f>24.72+25087.75-6285.31-6.2</f>
        <v>18820.96</v>
      </c>
      <c r="CG81" s="104">
        <f>12283.5-3077.61</f>
        <v>9205.89</v>
      </c>
      <c r="CH81" s="104">
        <v>5382.11</v>
      </c>
      <c r="CI81" s="104">
        <v>4448.97</v>
      </c>
      <c r="CJ81" s="104">
        <v>3226.26</v>
      </c>
      <c r="CK81" s="104">
        <v>3392.84</v>
      </c>
      <c r="CL81" s="104">
        <v>3742.27</v>
      </c>
      <c r="CM81" s="104">
        <f>15+4138</f>
        <v>4153</v>
      </c>
      <c r="CN81" s="104">
        <f>16+9401</f>
        <v>9417</v>
      </c>
      <c r="CO81" s="106">
        <v>16497</v>
      </c>
      <c r="CP81" s="104">
        <f t="shared" si="433"/>
        <v>1031.1799999999967</v>
      </c>
      <c r="CQ81" s="104">
        <f t="shared" si="433"/>
        <v>-15003.990000000002</v>
      </c>
      <c r="CR81" s="104">
        <f t="shared" si="433"/>
        <v>-7102.2400000000016</v>
      </c>
      <c r="CS81" s="104">
        <f t="shared" si="433"/>
        <v>-5778.85</v>
      </c>
      <c r="CT81" s="104">
        <f t="shared" si="433"/>
        <v>-133.71000000000004</v>
      </c>
      <c r="CU81" s="104">
        <f t="shared" si="433"/>
        <v>-450.25</v>
      </c>
      <c r="CV81" s="104">
        <f t="shared" si="433"/>
        <v>-621.56999999999971</v>
      </c>
      <c r="CW81" s="104">
        <f t="shared" si="433"/>
        <v>-346.52</v>
      </c>
      <c r="CX81" s="104">
        <f t="shared" si="433"/>
        <v>20.320000000000164</v>
      </c>
      <c r="CY81" s="104">
        <f t="shared" si="433"/>
        <v>-1634.0699999999997</v>
      </c>
      <c r="CZ81" s="104">
        <f t="shared" si="433"/>
        <v>649.36000000000058</v>
      </c>
      <c r="DA81" s="106">
        <f t="shared" si="433"/>
        <v>-12022.169999999998</v>
      </c>
      <c r="DB81" s="168">
        <f>345+20172</f>
        <v>20517</v>
      </c>
      <c r="DC81" s="104">
        <f>313+19105</f>
        <v>19418</v>
      </c>
      <c r="DD81" s="104">
        <v>20398</v>
      </c>
      <c r="DE81" s="104">
        <f>301+7348</f>
        <v>7649</v>
      </c>
      <c r="DF81" s="104">
        <f>288+10189</f>
        <v>10477</v>
      </c>
      <c r="DG81" s="104">
        <v>6292</v>
      </c>
      <c r="DH81" s="104">
        <v>6574</v>
      </c>
      <c r="DI81" s="104">
        <v>5364</v>
      </c>
      <c r="DJ81" s="104">
        <v>4959</v>
      </c>
      <c r="DK81" s="104">
        <v>7404</v>
      </c>
      <c r="DL81" s="104">
        <v>15235</v>
      </c>
      <c r="DM81" s="106"/>
      <c r="DN81" s="104">
        <f t="shared" ref="DN81:DN84" si="436">DB81-CD81</f>
        <v>-7611.0099999999984</v>
      </c>
      <c r="DO81" s="104">
        <f t="shared" si="434"/>
        <v>2852.91</v>
      </c>
      <c r="DP81" s="104">
        <f t="shared" si="434"/>
        <v>1577.0400000000009</v>
      </c>
      <c r="DQ81" s="104">
        <f t="shared" si="434"/>
        <v>-1556.8899999999994</v>
      </c>
      <c r="DR81" s="104">
        <f t="shared" si="434"/>
        <v>5094.8900000000003</v>
      </c>
      <c r="DS81" s="104">
        <f t="shared" si="434"/>
        <v>1843.0299999999997</v>
      </c>
      <c r="DT81" s="104">
        <f t="shared" si="434"/>
        <v>3347.74</v>
      </c>
      <c r="DU81" s="104">
        <f t="shared" si="434"/>
        <v>1971.1599999999999</v>
      </c>
      <c r="DV81" s="104">
        <f t="shared" si="434"/>
        <v>1216.73</v>
      </c>
      <c r="DW81" s="104">
        <f t="shared" si="434"/>
        <v>3251</v>
      </c>
      <c r="DX81" s="104">
        <f t="shared" si="434"/>
        <v>5818</v>
      </c>
      <c r="DY81" s="106">
        <f t="shared" si="434"/>
        <v>-16497</v>
      </c>
    </row>
    <row r="82" spans="1:129" x14ac:dyDescent="0.25">
      <c r="A82" s="19" t="s">
        <v>36</v>
      </c>
      <c r="B82" s="168">
        <v>122728.26</v>
      </c>
      <c r="C82" s="104">
        <v>72701.86</v>
      </c>
      <c r="D82" s="104">
        <v>34957.949999999997</v>
      </c>
      <c r="E82" s="104">
        <v>21340.31</v>
      </c>
      <c r="F82" s="104">
        <v>20201.32</v>
      </c>
      <c r="G82" s="104">
        <v>20183.310000000001</v>
      </c>
      <c r="H82" s="104">
        <v>19164.45</v>
      </c>
      <c r="I82" s="104">
        <v>30060.639999999999</v>
      </c>
      <c r="J82" s="104">
        <v>55659.15</v>
      </c>
      <c r="K82" s="104">
        <v>85962.240000000005</v>
      </c>
      <c r="L82" s="168">
        <v>102309.03</v>
      </c>
      <c r="M82" s="104">
        <v>84980.29</v>
      </c>
      <c r="N82" s="104">
        <v>66939.490000000005</v>
      </c>
      <c r="O82" s="104">
        <v>50102.51</v>
      </c>
      <c r="P82" s="104">
        <v>24313.599999999999</v>
      </c>
      <c r="Q82" s="104">
        <v>17206.419999999998</v>
      </c>
      <c r="R82" s="104">
        <v>15466.46</v>
      </c>
      <c r="S82" s="104">
        <v>15760.55</v>
      </c>
      <c r="T82" s="104">
        <v>21939.87</v>
      </c>
      <c r="U82" s="104">
        <v>23020.49</v>
      </c>
      <c r="V82" s="104">
        <v>47388.08</v>
      </c>
      <c r="W82" s="104">
        <v>85680.89</v>
      </c>
      <c r="X82" s="168">
        <f t="shared" si="419"/>
        <v>55788.76999999999</v>
      </c>
      <c r="Y82" s="104">
        <f t="shared" si="419"/>
        <v>22599.35</v>
      </c>
      <c r="Z82" s="104">
        <f t="shared" si="419"/>
        <v>10644.349999999999</v>
      </c>
      <c r="AA82" s="104">
        <f t="shared" si="419"/>
        <v>4133.8900000000031</v>
      </c>
      <c r="AB82" s="104">
        <f t="shared" si="419"/>
        <v>4734.8600000000006</v>
      </c>
      <c r="AC82" s="104">
        <f t="shared" si="419"/>
        <v>4422.760000000002</v>
      </c>
      <c r="AD82" s="104">
        <f t="shared" si="419"/>
        <v>-2775.4199999999983</v>
      </c>
      <c r="AE82" s="104">
        <f t="shared" si="419"/>
        <v>7040.1499999999978</v>
      </c>
      <c r="AF82" s="104">
        <f t="shared" si="419"/>
        <v>8271.07</v>
      </c>
      <c r="AG82" s="106">
        <f t="shared" si="419"/>
        <v>281.35000000000582</v>
      </c>
      <c r="AH82" s="168">
        <v>68215.12</v>
      </c>
      <c r="AI82" s="104">
        <v>83690.14</v>
      </c>
      <c r="AJ82" s="104">
        <v>63301.95</v>
      </c>
      <c r="AK82" s="104">
        <v>40791.980000000003</v>
      </c>
      <c r="AL82" s="104">
        <v>18920.13</v>
      </c>
      <c r="AM82" s="104">
        <v>15221.07</v>
      </c>
      <c r="AN82" s="104">
        <v>17570.64</v>
      </c>
      <c r="AO82" s="104">
        <v>14266.88</v>
      </c>
      <c r="AP82" s="104">
        <v>15524.4</v>
      </c>
      <c r="AQ82" s="104">
        <v>26762.15</v>
      </c>
      <c r="AR82" s="104">
        <v>96507.37</v>
      </c>
      <c r="AS82" s="106">
        <v>137760.98000000001</v>
      </c>
      <c r="AT82" s="168">
        <f t="shared" si="435"/>
        <v>34093.910000000003</v>
      </c>
      <c r="AU82" s="104">
        <f t="shared" si="420"/>
        <v>1290.1499999999942</v>
      </c>
      <c r="AV82" s="104">
        <f t="shared" si="420"/>
        <v>3637.5400000000081</v>
      </c>
      <c r="AW82" s="104">
        <f t="shared" si="420"/>
        <v>9310.5299999999988</v>
      </c>
      <c r="AX82" s="104">
        <f t="shared" si="420"/>
        <v>5393.4699999999975</v>
      </c>
      <c r="AY82" s="104">
        <f t="shared" si="420"/>
        <v>1985.3499999999985</v>
      </c>
      <c r="AZ82" s="104">
        <f t="shared" si="420"/>
        <v>-2104.1800000000003</v>
      </c>
      <c r="BA82" s="104">
        <f t="shared" si="420"/>
        <v>1493.67</v>
      </c>
      <c r="BB82" s="104">
        <f t="shared" si="420"/>
        <v>6415.4699999999993</v>
      </c>
      <c r="BC82" s="104">
        <f t="shared" si="420"/>
        <v>-3741.66</v>
      </c>
      <c r="BD82" s="104">
        <f t="shared" si="420"/>
        <v>-49119.289999999994</v>
      </c>
      <c r="BE82" s="106">
        <f t="shared" si="420"/>
        <v>-52080.090000000011</v>
      </c>
      <c r="BF82" s="168">
        <v>229004.92</v>
      </c>
      <c r="BG82" s="104">
        <v>203388.09</v>
      </c>
      <c r="BH82" s="104">
        <v>167007.07999999999</v>
      </c>
      <c r="BI82" s="104">
        <v>86618.45</v>
      </c>
      <c r="BJ82" s="104">
        <v>35698.089999999997</v>
      </c>
      <c r="BK82" s="104">
        <v>32604.33</v>
      </c>
      <c r="BL82" s="104">
        <v>21836.57</v>
      </c>
      <c r="BM82" s="104">
        <v>21268.6</v>
      </c>
      <c r="BN82" s="104">
        <v>22052.1</v>
      </c>
      <c r="BO82" s="104">
        <v>38888.79</v>
      </c>
      <c r="BP82" s="104">
        <v>54553.599000000002</v>
      </c>
      <c r="BQ82" s="106">
        <v>205400.04</v>
      </c>
      <c r="BR82" s="168">
        <f t="shared" si="421"/>
        <v>-160789.80000000002</v>
      </c>
      <c r="BS82" s="104">
        <f t="shared" si="422"/>
        <v>-119697.95</v>
      </c>
      <c r="BT82" s="104">
        <f t="shared" si="423"/>
        <v>-103705.12999999999</v>
      </c>
      <c r="BU82" s="104">
        <f t="shared" si="424"/>
        <v>-45826.469999999994</v>
      </c>
      <c r="BV82" s="104">
        <f t="shared" si="425"/>
        <v>-16777.959999999995</v>
      </c>
      <c r="BW82" s="104">
        <f t="shared" si="426"/>
        <v>-17383.260000000002</v>
      </c>
      <c r="BX82" s="104">
        <f t="shared" si="427"/>
        <v>-4265.93</v>
      </c>
      <c r="BY82" s="104">
        <f t="shared" si="428"/>
        <v>-7001.7199999999993</v>
      </c>
      <c r="BZ82" s="104">
        <f t="shared" si="429"/>
        <v>-6527.6999999999989</v>
      </c>
      <c r="CA82" s="104">
        <f t="shared" si="430"/>
        <v>-12126.64</v>
      </c>
      <c r="CB82" s="104">
        <f t="shared" si="431"/>
        <v>41953.770999999993</v>
      </c>
      <c r="CC82" s="106">
        <f t="shared" si="432"/>
        <v>-67639.06</v>
      </c>
      <c r="CD82" s="168">
        <v>196676.1</v>
      </c>
      <c r="CE82" s="104">
        <v>127349.58</v>
      </c>
      <c r="CF82" s="104">
        <v>144192.17000000001</v>
      </c>
      <c r="CG82" s="104">
        <v>67432.350000000006</v>
      </c>
      <c r="CH82" s="104">
        <v>29907.599999999999</v>
      </c>
      <c r="CI82" s="104">
        <v>23960.23</v>
      </c>
      <c r="CJ82" s="104">
        <v>15815.84</v>
      </c>
      <c r="CK82" s="104">
        <v>17372.490000000002</v>
      </c>
      <c r="CL82" s="104">
        <v>19766.59</v>
      </c>
      <c r="CM82" s="104">
        <f>3727+6058</f>
        <v>9785</v>
      </c>
      <c r="CN82" s="104">
        <f>16743+8836</f>
        <v>25579</v>
      </c>
      <c r="CO82" s="106">
        <v>42755</v>
      </c>
      <c r="CP82" s="104">
        <f t="shared" si="433"/>
        <v>-32328.820000000007</v>
      </c>
      <c r="CQ82" s="104">
        <f t="shared" si="433"/>
        <v>-76038.509999999995</v>
      </c>
      <c r="CR82" s="104">
        <f t="shared" si="433"/>
        <v>-22814.909999999974</v>
      </c>
      <c r="CS82" s="104">
        <f t="shared" si="433"/>
        <v>-19186.099999999991</v>
      </c>
      <c r="CT82" s="104">
        <f t="shared" si="433"/>
        <v>-5790.489999999998</v>
      </c>
      <c r="CU82" s="104">
        <f t="shared" si="433"/>
        <v>-8644.1000000000022</v>
      </c>
      <c r="CV82" s="104">
        <f t="shared" si="433"/>
        <v>-6020.73</v>
      </c>
      <c r="CW82" s="104">
        <f t="shared" si="433"/>
        <v>-3896.1099999999969</v>
      </c>
      <c r="CX82" s="104">
        <f t="shared" si="433"/>
        <v>-2285.5099999999984</v>
      </c>
      <c r="CY82" s="104">
        <f t="shared" si="433"/>
        <v>-29103.79</v>
      </c>
      <c r="CZ82" s="104">
        <f t="shared" si="433"/>
        <v>-28974.599000000002</v>
      </c>
      <c r="DA82" s="106">
        <f t="shared" si="433"/>
        <v>-162645.04</v>
      </c>
      <c r="DB82" s="168">
        <f>29134+7290</f>
        <v>36424</v>
      </c>
      <c r="DC82" s="104">
        <f>30075+10377</f>
        <v>40452</v>
      </c>
      <c r="DD82" s="104">
        <v>24664</v>
      </c>
      <c r="DE82" s="104">
        <f>18615+8978</f>
        <v>27593</v>
      </c>
      <c r="DF82" s="104">
        <f>11500+6875</f>
        <v>18375</v>
      </c>
      <c r="DG82" s="104">
        <v>10603</v>
      </c>
      <c r="DH82" s="104">
        <v>9430</v>
      </c>
      <c r="DI82" s="104">
        <v>9758</v>
      </c>
      <c r="DJ82" s="104">
        <v>8274</v>
      </c>
      <c r="DK82" s="104">
        <v>9647</v>
      </c>
      <c r="DL82" s="104">
        <v>21721</v>
      </c>
      <c r="DM82" s="106"/>
      <c r="DN82" s="104">
        <f t="shared" si="436"/>
        <v>-160252.1</v>
      </c>
      <c r="DO82" s="104">
        <f t="shared" si="434"/>
        <v>-86897.58</v>
      </c>
      <c r="DP82" s="104">
        <f t="shared" si="434"/>
        <v>-119528.17000000001</v>
      </c>
      <c r="DQ82" s="104">
        <f t="shared" si="434"/>
        <v>-39839.350000000006</v>
      </c>
      <c r="DR82" s="104">
        <f t="shared" si="434"/>
        <v>-11532.599999999999</v>
      </c>
      <c r="DS82" s="104">
        <f t="shared" si="434"/>
        <v>-13357.23</v>
      </c>
      <c r="DT82" s="104">
        <f t="shared" si="434"/>
        <v>-6385.84</v>
      </c>
      <c r="DU82" s="104">
        <f t="shared" si="434"/>
        <v>-7614.4900000000016</v>
      </c>
      <c r="DV82" s="104">
        <f t="shared" si="434"/>
        <v>-11492.59</v>
      </c>
      <c r="DW82" s="104">
        <f t="shared" si="434"/>
        <v>-138</v>
      </c>
      <c r="DX82" s="104">
        <f t="shared" si="434"/>
        <v>-3858</v>
      </c>
      <c r="DY82" s="106">
        <f t="shared" si="434"/>
        <v>-42755</v>
      </c>
    </row>
    <row r="83" spans="1:129" x14ac:dyDescent="0.25">
      <c r="A83" s="19" t="s">
        <v>37</v>
      </c>
      <c r="B83" s="168">
        <v>0</v>
      </c>
      <c r="C83" s="104">
        <v>0</v>
      </c>
      <c r="D83" s="104">
        <v>0</v>
      </c>
      <c r="E83" s="104">
        <v>0</v>
      </c>
      <c r="F83" s="104">
        <v>0</v>
      </c>
      <c r="G83" s="104">
        <v>0</v>
      </c>
      <c r="H83" s="104">
        <v>0</v>
      </c>
      <c r="I83" s="104">
        <v>0</v>
      </c>
      <c r="J83" s="104">
        <v>0</v>
      </c>
      <c r="K83" s="104">
        <v>0</v>
      </c>
      <c r="L83" s="168">
        <v>0</v>
      </c>
      <c r="M83" s="104">
        <v>0</v>
      </c>
      <c r="N83" s="104">
        <v>0</v>
      </c>
      <c r="O83" s="104">
        <v>0</v>
      </c>
      <c r="P83" s="104">
        <v>0</v>
      </c>
      <c r="Q83" s="104">
        <v>0</v>
      </c>
      <c r="R83" s="104">
        <v>0</v>
      </c>
      <c r="S83" s="104">
        <v>0</v>
      </c>
      <c r="T83" s="104">
        <v>0</v>
      </c>
      <c r="U83" s="104">
        <v>0</v>
      </c>
      <c r="V83" s="104">
        <v>0</v>
      </c>
      <c r="W83" s="104">
        <v>0</v>
      </c>
      <c r="X83" s="168">
        <f t="shared" si="419"/>
        <v>0</v>
      </c>
      <c r="Y83" s="104">
        <f t="shared" si="419"/>
        <v>0</v>
      </c>
      <c r="Z83" s="104">
        <f t="shared" si="419"/>
        <v>0</v>
      </c>
      <c r="AA83" s="104">
        <f t="shared" si="419"/>
        <v>0</v>
      </c>
      <c r="AB83" s="104">
        <f t="shared" si="419"/>
        <v>0</v>
      </c>
      <c r="AC83" s="104">
        <f t="shared" si="419"/>
        <v>0</v>
      </c>
      <c r="AD83" s="104">
        <f t="shared" si="419"/>
        <v>0</v>
      </c>
      <c r="AE83" s="104">
        <f t="shared" si="419"/>
        <v>0</v>
      </c>
      <c r="AF83" s="104">
        <f t="shared" si="419"/>
        <v>0</v>
      </c>
      <c r="AG83" s="106">
        <f t="shared" si="419"/>
        <v>0</v>
      </c>
      <c r="AH83" s="168">
        <v>0</v>
      </c>
      <c r="AI83" s="104">
        <v>0</v>
      </c>
      <c r="AJ83" s="104">
        <v>0</v>
      </c>
      <c r="AK83" s="104">
        <v>0</v>
      </c>
      <c r="AL83" s="104">
        <v>0</v>
      </c>
      <c r="AM83" s="104">
        <v>0</v>
      </c>
      <c r="AN83" s="104">
        <v>0</v>
      </c>
      <c r="AO83" s="104">
        <v>0</v>
      </c>
      <c r="AP83" s="104">
        <v>0</v>
      </c>
      <c r="AQ83" s="104">
        <v>0</v>
      </c>
      <c r="AR83" s="104">
        <v>0</v>
      </c>
      <c r="AS83" s="106">
        <v>0</v>
      </c>
      <c r="AT83" s="168">
        <f t="shared" si="435"/>
        <v>0</v>
      </c>
      <c r="AU83" s="104">
        <f t="shared" si="420"/>
        <v>0</v>
      </c>
      <c r="AV83" s="104">
        <f t="shared" si="420"/>
        <v>0</v>
      </c>
      <c r="AW83" s="104">
        <f t="shared" si="420"/>
        <v>0</v>
      </c>
      <c r="AX83" s="104">
        <f t="shared" si="420"/>
        <v>0</v>
      </c>
      <c r="AY83" s="104">
        <f t="shared" si="420"/>
        <v>0</v>
      </c>
      <c r="AZ83" s="104">
        <f t="shared" si="420"/>
        <v>0</v>
      </c>
      <c r="BA83" s="104">
        <f t="shared" si="420"/>
        <v>0</v>
      </c>
      <c r="BB83" s="104">
        <f t="shared" si="420"/>
        <v>0</v>
      </c>
      <c r="BC83" s="104">
        <f t="shared" si="420"/>
        <v>0</v>
      </c>
      <c r="BD83" s="104">
        <f t="shared" si="420"/>
        <v>0</v>
      </c>
      <c r="BE83" s="106">
        <f t="shared" si="420"/>
        <v>0</v>
      </c>
      <c r="BF83" s="168"/>
      <c r="BG83" s="104"/>
      <c r="BH83" s="104"/>
      <c r="BI83" s="104"/>
      <c r="BJ83" s="104"/>
      <c r="BK83" s="104"/>
      <c r="BL83" s="104"/>
      <c r="BM83" s="104"/>
      <c r="BN83" s="104"/>
      <c r="BO83" s="104"/>
      <c r="BP83" s="104"/>
      <c r="BQ83" s="106"/>
      <c r="BR83" s="168">
        <f t="shared" si="421"/>
        <v>0</v>
      </c>
      <c r="BS83" s="104">
        <f t="shared" si="422"/>
        <v>0</v>
      </c>
      <c r="BT83" s="104">
        <f t="shared" si="423"/>
        <v>0</v>
      </c>
      <c r="BU83" s="104">
        <f t="shared" si="424"/>
        <v>0</v>
      </c>
      <c r="BV83" s="104">
        <f t="shared" si="425"/>
        <v>0</v>
      </c>
      <c r="BW83" s="104">
        <f t="shared" si="426"/>
        <v>0</v>
      </c>
      <c r="BX83" s="104">
        <f t="shared" si="427"/>
        <v>0</v>
      </c>
      <c r="BY83" s="104">
        <f t="shared" si="428"/>
        <v>0</v>
      </c>
      <c r="BZ83" s="104">
        <f t="shared" si="429"/>
        <v>0</v>
      </c>
      <c r="CA83" s="104">
        <f t="shared" si="430"/>
        <v>0</v>
      </c>
      <c r="CB83" s="104">
        <f t="shared" si="431"/>
        <v>0</v>
      </c>
      <c r="CC83" s="106">
        <f t="shared" si="432"/>
        <v>0</v>
      </c>
      <c r="CD83" s="168">
        <v>0</v>
      </c>
      <c r="CE83" s="104">
        <v>0</v>
      </c>
      <c r="CF83" s="104">
        <v>0</v>
      </c>
      <c r="CG83" s="104">
        <v>0</v>
      </c>
      <c r="CH83" s="104">
        <v>0</v>
      </c>
      <c r="CI83" s="104">
        <v>0</v>
      </c>
      <c r="CJ83" s="104">
        <v>0</v>
      </c>
      <c r="CK83" s="104">
        <v>0</v>
      </c>
      <c r="CL83" s="104">
        <v>0</v>
      </c>
      <c r="CM83" s="104">
        <f>4379+3195</f>
        <v>7574</v>
      </c>
      <c r="CN83" s="104">
        <f>18476+4902</f>
        <v>23378</v>
      </c>
      <c r="CO83" s="106">
        <v>26214</v>
      </c>
      <c r="CP83" s="104">
        <f t="shared" si="433"/>
        <v>0</v>
      </c>
      <c r="CQ83" s="104">
        <f t="shared" si="433"/>
        <v>0</v>
      </c>
      <c r="CR83" s="104">
        <f t="shared" si="433"/>
        <v>0</v>
      </c>
      <c r="CS83" s="104">
        <f t="shared" si="433"/>
        <v>0</v>
      </c>
      <c r="CT83" s="104">
        <f t="shared" si="433"/>
        <v>0</v>
      </c>
      <c r="CU83" s="104">
        <f t="shared" si="433"/>
        <v>0</v>
      </c>
      <c r="CV83" s="104">
        <f t="shared" si="433"/>
        <v>0</v>
      </c>
      <c r="CW83" s="104">
        <f t="shared" si="433"/>
        <v>0</v>
      </c>
      <c r="CX83" s="104">
        <f t="shared" si="433"/>
        <v>0</v>
      </c>
      <c r="CY83" s="104">
        <f t="shared" si="433"/>
        <v>7574</v>
      </c>
      <c r="CZ83" s="104">
        <f t="shared" si="433"/>
        <v>23378</v>
      </c>
      <c r="DA83" s="106">
        <f t="shared" si="433"/>
        <v>26214</v>
      </c>
      <c r="DB83" s="168">
        <f>42859+6848</f>
        <v>49707</v>
      </c>
      <c r="DC83" s="104">
        <f>54764+7188</f>
        <v>61952</v>
      </c>
      <c r="DD83" s="104">
        <v>17910</v>
      </c>
      <c r="DE83" s="104">
        <f>60585+3128</f>
        <v>63713</v>
      </c>
      <c r="DF83" s="104">
        <f>5301+2193</f>
        <v>7494</v>
      </c>
      <c r="DG83" s="104">
        <v>12992</v>
      </c>
      <c r="DH83" s="104">
        <v>30295</v>
      </c>
      <c r="DI83" s="104">
        <v>7687</v>
      </c>
      <c r="DJ83" s="104">
        <v>6602</v>
      </c>
      <c r="DK83" s="104">
        <v>9002</v>
      </c>
      <c r="DL83" s="104">
        <v>10558</v>
      </c>
      <c r="DM83" s="106"/>
      <c r="DN83" s="104">
        <f t="shared" si="436"/>
        <v>49707</v>
      </c>
      <c r="DO83" s="104">
        <f t="shared" si="434"/>
        <v>61952</v>
      </c>
      <c r="DP83" s="104">
        <f t="shared" si="434"/>
        <v>17910</v>
      </c>
      <c r="DQ83" s="104">
        <f t="shared" si="434"/>
        <v>63713</v>
      </c>
      <c r="DR83" s="104">
        <f>DF83-CH83</f>
        <v>7494</v>
      </c>
      <c r="DS83" s="104">
        <f t="shared" si="434"/>
        <v>12992</v>
      </c>
      <c r="DT83" s="104">
        <f t="shared" si="434"/>
        <v>30295</v>
      </c>
      <c r="DU83" s="104">
        <f t="shared" si="434"/>
        <v>7687</v>
      </c>
      <c r="DV83" s="104">
        <f t="shared" si="434"/>
        <v>6602</v>
      </c>
      <c r="DW83" s="104">
        <f t="shared" si="434"/>
        <v>1428</v>
      </c>
      <c r="DX83" s="104">
        <f t="shared" si="434"/>
        <v>-12820</v>
      </c>
      <c r="DY83" s="106">
        <f t="shared" si="434"/>
        <v>-26214</v>
      </c>
    </row>
    <row r="84" spans="1:129" x14ac:dyDescent="0.25">
      <c r="A84" s="19" t="s">
        <v>46</v>
      </c>
      <c r="B84" s="168">
        <v>18564.060000000001</v>
      </c>
      <c r="C84" s="104">
        <v>10474.629999999999</v>
      </c>
      <c r="D84" s="104">
        <v>3427.51</v>
      </c>
      <c r="E84" s="104">
        <v>161.21</v>
      </c>
      <c r="F84" s="104">
        <v>0</v>
      </c>
      <c r="G84" s="104">
        <v>0</v>
      </c>
      <c r="H84" s="104">
        <v>2098.12</v>
      </c>
      <c r="I84" s="104">
        <v>14756.12</v>
      </c>
      <c r="J84" s="104">
        <v>30843.78</v>
      </c>
      <c r="K84" s="104">
        <v>42691.92</v>
      </c>
      <c r="L84" s="168">
        <v>53813.94</v>
      </c>
      <c r="M84" s="104">
        <v>43902.54</v>
      </c>
      <c r="N84" s="104">
        <v>27816.73</v>
      </c>
      <c r="O84" s="104">
        <v>7830.5</v>
      </c>
      <c r="P84" s="104">
        <v>1629.11</v>
      </c>
      <c r="Q84" s="104">
        <v>1328.1</v>
      </c>
      <c r="R84" s="104">
        <v>177.39</v>
      </c>
      <c r="S84" s="104">
        <v>294.79000000000002</v>
      </c>
      <c r="T84" s="104">
        <v>1938.1</v>
      </c>
      <c r="U84" s="104">
        <v>10253.629999999999</v>
      </c>
      <c r="V84" s="104">
        <v>33068.550000000003</v>
      </c>
      <c r="W84" s="104">
        <v>54115.040000000001</v>
      </c>
      <c r="X84" s="168">
        <f t="shared" si="419"/>
        <v>-9252.6699999999983</v>
      </c>
      <c r="Y84" s="104">
        <f t="shared" si="419"/>
        <v>2644.1299999999992</v>
      </c>
      <c r="Z84" s="104">
        <f t="shared" si="419"/>
        <v>1798.4000000000003</v>
      </c>
      <c r="AA84" s="104">
        <f t="shared" si="419"/>
        <v>-1166.8899999999999</v>
      </c>
      <c r="AB84" s="104">
        <f t="shared" si="419"/>
        <v>-177.39</v>
      </c>
      <c r="AC84" s="104">
        <f t="shared" si="419"/>
        <v>-294.79000000000002</v>
      </c>
      <c r="AD84" s="104">
        <f t="shared" si="419"/>
        <v>160.01999999999998</v>
      </c>
      <c r="AE84" s="104">
        <f t="shared" si="419"/>
        <v>4502.4900000000016</v>
      </c>
      <c r="AF84" s="104">
        <f t="shared" si="419"/>
        <v>-2224.7700000000041</v>
      </c>
      <c r="AG84" s="106">
        <f t="shared" si="419"/>
        <v>-11423.120000000003</v>
      </c>
      <c r="AH84" s="168">
        <v>41575.24</v>
      </c>
      <c r="AI84" s="104">
        <v>31966.91</v>
      </c>
      <c r="AJ84" s="104">
        <v>30607.439999999999</v>
      </c>
      <c r="AK84" s="104">
        <v>11936.19</v>
      </c>
      <c r="AL84" s="104">
        <v>14237.28</v>
      </c>
      <c r="AM84" s="104">
        <v>3238.48</v>
      </c>
      <c r="AN84" s="104">
        <v>297.26</v>
      </c>
      <c r="AO84" s="104">
        <v>361.45</v>
      </c>
      <c r="AP84" s="104">
        <v>1281.24</v>
      </c>
      <c r="AQ84" s="104">
        <v>0</v>
      </c>
      <c r="AR84" s="104">
        <v>0</v>
      </c>
      <c r="AS84" s="106">
        <v>0</v>
      </c>
      <c r="AT84" s="168">
        <f t="shared" si="435"/>
        <v>12238.700000000004</v>
      </c>
      <c r="AU84" s="104">
        <f t="shared" si="420"/>
        <v>11935.630000000001</v>
      </c>
      <c r="AV84" s="104">
        <f t="shared" si="420"/>
        <v>-2790.7099999999991</v>
      </c>
      <c r="AW84" s="104">
        <f t="shared" si="420"/>
        <v>-4105.6900000000005</v>
      </c>
      <c r="AX84" s="104">
        <f t="shared" si="420"/>
        <v>-12608.17</v>
      </c>
      <c r="AY84" s="104">
        <f t="shared" si="420"/>
        <v>-1910.38</v>
      </c>
      <c r="AZ84" s="104">
        <f t="shared" si="420"/>
        <v>-119.87</v>
      </c>
      <c r="BA84" s="104">
        <f t="shared" si="420"/>
        <v>-66.659999999999968</v>
      </c>
      <c r="BB84" s="104">
        <f t="shared" si="420"/>
        <v>656.8599999999999</v>
      </c>
      <c r="BC84" s="104">
        <f t="shared" si="420"/>
        <v>10253.629999999999</v>
      </c>
      <c r="BD84" s="104">
        <f t="shared" si="420"/>
        <v>33068.550000000003</v>
      </c>
      <c r="BE84" s="106">
        <f t="shared" si="420"/>
        <v>54115.040000000001</v>
      </c>
      <c r="BF84" s="168"/>
      <c r="BG84" s="104"/>
      <c r="BH84" s="104"/>
      <c r="BI84" s="104"/>
      <c r="BJ84" s="104"/>
      <c r="BK84" s="104"/>
      <c r="BL84" s="104"/>
      <c r="BM84" s="104"/>
      <c r="BN84" s="104"/>
      <c r="BO84" s="104"/>
      <c r="BP84" s="104"/>
      <c r="BQ84" s="106"/>
      <c r="BR84" s="168">
        <f t="shared" si="421"/>
        <v>41575.24</v>
      </c>
      <c r="BS84" s="104">
        <f t="shared" si="422"/>
        <v>31966.91</v>
      </c>
      <c r="BT84" s="104">
        <f t="shared" si="423"/>
        <v>30607.439999999999</v>
      </c>
      <c r="BU84" s="104">
        <f t="shared" si="424"/>
        <v>11936.19</v>
      </c>
      <c r="BV84" s="104">
        <f t="shared" si="425"/>
        <v>14237.28</v>
      </c>
      <c r="BW84" s="104">
        <f t="shared" si="426"/>
        <v>3238.48</v>
      </c>
      <c r="BX84" s="104">
        <f t="shared" si="427"/>
        <v>297.26</v>
      </c>
      <c r="BY84" s="104">
        <f t="shared" si="428"/>
        <v>361.45</v>
      </c>
      <c r="BZ84" s="104">
        <f t="shared" si="429"/>
        <v>1281.24</v>
      </c>
      <c r="CA84" s="104">
        <f t="shared" si="430"/>
        <v>0</v>
      </c>
      <c r="CB84" s="104">
        <f t="shared" si="431"/>
        <v>0</v>
      </c>
      <c r="CC84" s="106">
        <f t="shared" si="432"/>
        <v>0</v>
      </c>
      <c r="CD84" s="168">
        <v>0</v>
      </c>
      <c r="CE84" s="104">
        <v>0</v>
      </c>
      <c r="CF84" s="104">
        <v>0</v>
      </c>
      <c r="CG84" s="104">
        <v>0</v>
      </c>
      <c r="CH84" s="104">
        <v>0</v>
      </c>
      <c r="CI84" s="104">
        <v>0</v>
      </c>
      <c r="CJ84" s="104">
        <v>0</v>
      </c>
      <c r="CK84" s="104">
        <v>0</v>
      </c>
      <c r="CL84" s="104">
        <v>0</v>
      </c>
      <c r="CM84" s="104">
        <v>0</v>
      </c>
      <c r="CN84" s="104">
        <v>0</v>
      </c>
      <c r="CO84" s="106">
        <v>0</v>
      </c>
      <c r="CP84" s="104">
        <f t="shared" si="433"/>
        <v>0</v>
      </c>
      <c r="CQ84" s="104">
        <f t="shared" si="433"/>
        <v>0</v>
      </c>
      <c r="CR84" s="104">
        <f t="shared" si="433"/>
        <v>0</v>
      </c>
      <c r="CS84" s="104">
        <f t="shared" si="433"/>
        <v>0</v>
      </c>
      <c r="CT84" s="104">
        <f t="shared" si="433"/>
        <v>0</v>
      </c>
      <c r="CU84" s="104">
        <f t="shared" si="433"/>
        <v>0</v>
      </c>
      <c r="CV84" s="104">
        <f t="shared" si="433"/>
        <v>0</v>
      </c>
      <c r="CW84" s="104">
        <f t="shared" si="433"/>
        <v>0</v>
      </c>
      <c r="CX84" s="104">
        <f t="shared" si="433"/>
        <v>0</v>
      </c>
      <c r="CY84" s="104">
        <f t="shared" si="433"/>
        <v>0</v>
      </c>
      <c r="CZ84" s="104">
        <f t="shared" si="433"/>
        <v>0</v>
      </c>
      <c r="DA84" s="106">
        <f t="shared" si="433"/>
        <v>0</v>
      </c>
      <c r="DB84" s="168">
        <v>0</v>
      </c>
      <c r="DC84" s="104">
        <v>0</v>
      </c>
      <c r="DD84" s="104">
        <v>0</v>
      </c>
      <c r="DE84" s="104">
        <v>0</v>
      </c>
      <c r="DF84" s="104">
        <v>0</v>
      </c>
      <c r="DG84" s="104">
        <v>0</v>
      </c>
      <c r="DH84" s="104">
        <v>0</v>
      </c>
      <c r="DI84" s="104">
        <v>0</v>
      </c>
      <c r="DJ84" s="104">
        <v>0</v>
      </c>
      <c r="DK84" s="104">
        <v>0</v>
      </c>
      <c r="DL84" s="104">
        <v>0</v>
      </c>
      <c r="DM84" s="106"/>
      <c r="DN84" s="104">
        <f t="shared" si="436"/>
        <v>0</v>
      </c>
      <c r="DO84" s="104">
        <f t="shared" si="434"/>
        <v>0</v>
      </c>
      <c r="DP84" s="104">
        <f t="shared" si="434"/>
        <v>0</v>
      </c>
      <c r="DQ84" s="104">
        <f t="shared" si="434"/>
        <v>0</v>
      </c>
      <c r="DR84" s="104">
        <f>DF84-CH84</f>
        <v>0</v>
      </c>
      <c r="DS84" s="104">
        <f t="shared" si="434"/>
        <v>0</v>
      </c>
      <c r="DT84" s="104">
        <f t="shared" si="434"/>
        <v>0</v>
      </c>
      <c r="DU84" s="104">
        <f t="shared" si="434"/>
        <v>0</v>
      </c>
      <c r="DV84" s="104">
        <f t="shared" si="434"/>
        <v>0</v>
      </c>
      <c r="DW84" s="104">
        <f t="shared" si="434"/>
        <v>0</v>
      </c>
      <c r="DX84" s="104">
        <f t="shared" si="434"/>
        <v>0</v>
      </c>
      <c r="DY84" s="106">
        <f t="shared" si="434"/>
        <v>0</v>
      </c>
    </row>
    <row r="85" spans="1:129" x14ac:dyDescent="0.25">
      <c r="A85" s="19" t="s">
        <v>39</v>
      </c>
      <c r="B85" s="168">
        <f>SUM(B80:B84)</f>
        <v>445058.64999999997</v>
      </c>
      <c r="C85" s="104">
        <f t="shared" ref="C85:K85" si="437">SUM(C80:C84)</f>
        <v>266478.07</v>
      </c>
      <c r="D85" s="104">
        <f t="shared" si="437"/>
        <v>136516.58000000002</v>
      </c>
      <c r="E85" s="104">
        <f t="shared" si="437"/>
        <v>80741.77</v>
      </c>
      <c r="F85" s="104">
        <f t="shared" si="437"/>
        <v>73816.51999999999</v>
      </c>
      <c r="G85" s="104">
        <f t="shared" si="437"/>
        <v>76470.400000000009</v>
      </c>
      <c r="H85" s="104">
        <f t="shared" si="437"/>
        <v>77954.47</v>
      </c>
      <c r="I85" s="104">
        <f t="shared" si="437"/>
        <v>145580.51999999999</v>
      </c>
      <c r="J85" s="104">
        <f t="shared" si="437"/>
        <v>279192.12</v>
      </c>
      <c r="K85" s="104">
        <f t="shared" si="437"/>
        <v>419189.99999999994</v>
      </c>
      <c r="L85" s="168">
        <f>SUM(L80:L84)</f>
        <v>495445.48999999993</v>
      </c>
      <c r="M85" s="104">
        <f t="shared" ref="M85:W85" si="438">SUM(M80:M84)</f>
        <v>414566.84999999992</v>
      </c>
      <c r="N85" s="104">
        <f t="shared" si="438"/>
        <v>333624.81</v>
      </c>
      <c r="O85" s="104">
        <f t="shared" si="438"/>
        <v>262890.55000000005</v>
      </c>
      <c r="P85" s="104">
        <f t="shared" si="438"/>
        <v>122366.45</v>
      </c>
      <c r="Q85" s="104">
        <f t="shared" si="438"/>
        <v>82287.63</v>
      </c>
      <c r="R85" s="104">
        <f t="shared" si="438"/>
        <v>67909.789999999994</v>
      </c>
      <c r="S85" s="104">
        <f t="shared" si="438"/>
        <v>68007.239999999991</v>
      </c>
      <c r="T85" s="104">
        <f t="shared" si="438"/>
        <v>93532.849999999991</v>
      </c>
      <c r="U85" s="104">
        <f t="shared" si="438"/>
        <v>117326.11</v>
      </c>
      <c r="V85" s="104">
        <f t="shared" si="438"/>
        <v>257697.32999999996</v>
      </c>
      <c r="W85" s="104">
        <f t="shared" si="438"/>
        <v>448107.75999999995</v>
      </c>
      <c r="X85" s="168">
        <f t="shared" ref="X85" si="439">SUM(X80:X84)</f>
        <v>111433.83999999998</v>
      </c>
      <c r="Y85" s="104">
        <f t="shared" ref="Y85" si="440">SUM(Y80:Y84)</f>
        <v>3587.5199999999841</v>
      </c>
      <c r="Z85" s="104">
        <f t="shared" ref="Z85" si="441">SUM(Z80:Z84)</f>
        <v>14150.13</v>
      </c>
      <c r="AA85" s="104">
        <f t="shared" ref="AA85" si="442">SUM(AA80:AA84)</f>
        <v>-1545.8599999999992</v>
      </c>
      <c r="AB85" s="104">
        <f t="shared" ref="AB85" si="443">SUM(AB80:AB84)</f>
        <v>5906.7300000000032</v>
      </c>
      <c r="AC85" s="104">
        <f t="shared" ref="AC85" si="444">SUM(AC80:AC84)</f>
        <v>8463.1600000000035</v>
      </c>
      <c r="AD85" s="104">
        <f t="shared" ref="AD85" si="445">SUM(AD80:AD84)</f>
        <v>-15578.379999999992</v>
      </c>
      <c r="AE85" s="104">
        <f t="shared" ref="AE85" si="446">SUM(AE80:AE84)</f>
        <v>28254.41</v>
      </c>
      <c r="AF85" s="104">
        <f t="shared" ref="AF85" si="447">SUM(AF80:AF84)</f>
        <v>21494.790000000012</v>
      </c>
      <c r="AG85" s="106">
        <f t="shared" ref="AG85" si="448">SUM(AG80:AG84)</f>
        <v>-28917.759999999995</v>
      </c>
      <c r="AH85" s="168">
        <f>SUM(AH80:AH84)</f>
        <v>376063.08999999997</v>
      </c>
      <c r="AI85" s="104">
        <f>SUM(AI80:AI84)</f>
        <v>408095.07999999996</v>
      </c>
      <c r="AJ85" s="104">
        <f t="shared" ref="AJ85:AS85" si="449">SUM(AJ80:AJ84)</f>
        <v>347466.6</v>
      </c>
      <c r="AK85" s="104">
        <f t="shared" si="449"/>
        <v>208269.08000000002</v>
      </c>
      <c r="AL85" s="104">
        <f t="shared" si="449"/>
        <v>108019.70999999999</v>
      </c>
      <c r="AM85" s="104">
        <f t="shared" si="449"/>
        <v>79219.409999999989</v>
      </c>
      <c r="AN85" s="104">
        <f t="shared" si="449"/>
        <v>76517.499999999985</v>
      </c>
      <c r="AO85" s="104">
        <f t="shared" si="449"/>
        <v>64331.929999999993</v>
      </c>
      <c r="AP85" s="104">
        <f t="shared" si="449"/>
        <v>69808.86</v>
      </c>
      <c r="AQ85" s="104">
        <f t="shared" si="449"/>
        <v>97576.53</v>
      </c>
      <c r="AR85" s="104">
        <f t="shared" si="449"/>
        <v>344268.35</v>
      </c>
      <c r="AS85" s="104">
        <f t="shared" si="449"/>
        <v>474240.43999999994</v>
      </c>
      <c r="AT85" s="168">
        <f>SUM(AT80:AT84)</f>
        <v>119382.39999999997</v>
      </c>
      <c r="AU85" s="104">
        <f t="shared" ref="AU85" si="450">SUM(AU80:AU84)</f>
        <v>6471.7699999999913</v>
      </c>
      <c r="AV85" s="104">
        <f t="shared" ref="AV85" si="451">SUM(AV80:AV84)</f>
        <v>-13841.789999999999</v>
      </c>
      <c r="AW85" s="104">
        <f t="shared" ref="AW85" si="452">SUM(AW80:AW84)</f>
        <v>54621.470000000008</v>
      </c>
      <c r="AX85" s="104">
        <f t="shared" ref="AX85" si="453">SUM(AX80:AX84)</f>
        <v>14346.740000000011</v>
      </c>
      <c r="AY85" s="104">
        <f t="shared" ref="AY85" si="454">SUM(AY80:AY84)</f>
        <v>3068.220000000003</v>
      </c>
      <c r="AZ85" s="104">
        <f t="shared" ref="AZ85" si="455">SUM(AZ80:AZ84)</f>
        <v>-8607.7100000000028</v>
      </c>
      <c r="BA85" s="104">
        <f t="shared" ref="BA85" si="456">SUM(BA80:BA84)</f>
        <v>3675.309999999999</v>
      </c>
      <c r="BB85" s="104">
        <f t="shared" ref="BB85" si="457">SUM(BB80:BB84)</f>
        <v>23723.989999999998</v>
      </c>
      <c r="BC85" s="104">
        <f t="shared" ref="BC85" si="458">SUM(BC80:BC84)</f>
        <v>19749.579999999987</v>
      </c>
      <c r="BD85" s="104">
        <f t="shared" ref="BD85" si="459">SUM(BD80:BD84)</f>
        <v>-86571.01999999999</v>
      </c>
      <c r="BE85" s="106">
        <f t="shared" ref="BE85" si="460">SUM(BE80:BE84)</f>
        <v>-26132.680000000015</v>
      </c>
      <c r="BF85" s="168">
        <f>SUM(BF80:BF84)</f>
        <v>786198.78</v>
      </c>
      <c r="BG85" s="104">
        <f>SUM(BG80:BG84)</f>
        <v>698356.8</v>
      </c>
      <c r="BH85" s="104">
        <f t="shared" ref="BH85:BM85" si="461">SUM(BH80:BH84)</f>
        <v>569100.54</v>
      </c>
      <c r="BI85" s="104">
        <f t="shared" si="461"/>
        <v>303398.11</v>
      </c>
      <c r="BJ85" s="104">
        <f t="shared" si="461"/>
        <v>136209.07</v>
      </c>
      <c r="BK85" s="104">
        <f t="shared" si="461"/>
        <v>122221.86</v>
      </c>
      <c r="BL85" s="104">
        <f t="shared" si="461"/>
        <v>91615.670000000013</v>
      </c>
      <c r="BM85" s="104">
        <f t="shared" si="461"/>
        <v>87075.28</v>
      </c>
      <c r="BN85" s="104">
        <v>86730.02</v>
      </c>
      <c r="BO85" s="104">
        <f>SUM(BO80:BO82)</f>
        <v>142824.01</v>
      </c>
      <c r="BP85" s="104">
        <f>SUM(BP80:BP84)</f>
        <v>177839.924</v>
      </c>
      <c r="BQ85" s="106">
        <f>SUM(BQ80:BQ84)</f>
        <v>719339.80999999994</v>
      </c>
      <c r="BR85" s="168">
        <f>SUM(BR80:BR84)</f>
        <v>-410135.69000000006</v>
      </c>
      <c r="BS85" s="104">
        <f t="shared" ref="BS85:CC85" si="462">SUM(BS80:BS84)</f>
        <v>-290261.72000000003</v>
      </c>
      <c r="BT85" s="104">
        <f t="shared" si="462"/>
        <v>-221633.94</v>
      </c>
      <c r="BU85" s="104">
        <f t="shared" si="462"/>
        <v>-95129.030000000013</v>
      </c>
      <c r="BV85" s="104">
        <f t="shared" si="462"/>
        <v>-28189.360000000001</v>
      </c>
      <c r="BW85" s="104">
        <f t="shared" si="462"/>
        <v>-43002.450000000004</v>
      </c>
      <c r="BX85" s="104">
        <f t="shared" si="462"/>
        <v>-15098.170000000006</v>
      </c>
      <c r="BY85" s="104">
        <f t="shared" si="462"/>
        <v>-22743.349999999995</v>
      </c>
      <c r="BZ85" s="104">
        <f t="shared" si="462"/>
        <v>-16921.16</v>
      </c>
      <c r="CA85" s="104">
        <f t="shared" si="462"/>
        <v>-45247.479999999989</v>
      </c>
      <c r="CB85" s="104">
        <f t="shared" si="462"/>
        <v>166428.42599999998</v>
      </c>
      <c r="CC85" s="106">
        <f t="shared" si="462"/>
        <v>-245099.37</v>
      </c>
      <c r="CD85" s="168">
        <f>SUM(CD80:CD84)</f>
        <v>678376.95999999996</v>
      </c>
      <c r="CE85" s="104">
        <f>SUM(CE80:CE83)</f>
        <v>417465.96</v>
      </c>
      <c r="CF85" s="104">
        <f t="shared" ref="CF85:CO85" si="463">SUM(CF80:CF83)</f>
        <v>472216.30000000005</v>
      </c>
      <c r="CG85" s="104">
        <f t="shared" si="463"/>
        <v>220628.83</v>
      </c>
      <c r="CH85" s="104">
        <f t="shared" si="463"/>
        <v>117848.38999999998</v>
      </c>
      <c r="CI85" s="104">
        <f t="shared" si="463"/>
        <v>101767.37</v>
      </c>
      <c r="CJ85" s="104">
        <f t="shared" si="463"/>
        <v>70407.75</v>
      </c>
      <c r="CK85" s="104">
        <f t="shared" si="463"/>
        <v>73728.88</v>
      </c>
      <c r="CL85" s="104">
        <f t="shared" si="463"/>
        <v>81804.03</v>
      </c>
      <c r="CM85" s="104">
        <f t="shared" si="463"/>
        <v>85096</v>
      </c>
      <c r="CN85" s="104">
        <f t="shared" si="463"/>
        <v>320688</v>
      </c>
      <c r="CO85" s="106">
        <f t="shared" si="463"/>
        <v>341882</v>
      </c>
      <c r="CP85" s="168">
        <f t="shared" si="433"/>
        <v>-107821.82000000007</v>
      </c>
      <c r="CQ85" s="104">
        <f t="shared" si="433"/>
        <v>-280890.84000000003</v>
      </c>
      <c r="CR85" s="104">
        <f t="shared" si="433"/>
        <v>-96884.239999999991</v>
      </c>
      <c r="CS85" s="104">
        <f t="shared" si="433"/>
        <v>-82769.279999999999</v>
      </c>
      <c r="CT85" s="104">
        <f t="shared" si="433"/>
        <v>-18360.680000000022</v>
      </c>
      <c r="CU85" s="104">
        <f t="shared" si="433"/>
        <v>-20454.490000000005</v>
      </c>
      <c r="CV85" s="104">
        <f t="shared" si="433"/>
        <v>-21207.920000000013</v>
      </c>
      <c r="CW85" s="104">
        <f t="shared" si="433"/>
        <v>-13346.399999999994</v>
      </c>
      <c r="CX85" s="104">
        <f t="shared" si="433"/>
        <v>-4925.9900000000052</v>
      </c>
      <c r="CY85" s="104">
        <f t="shared" si="433"/>
        <v>-57728.010000000009</v>
      </c>
      <c r="CZ85" s="104">
        <f t="shared" si="433"/>
        <v>142848.076</v>
      </c>
      <c r="DA85" s="106">
        <f t="shared" si="433"/>
        <v>-377457.80999999994</v>
      </c>
      <c r="DB85" s="168">
        <f>SUM(DB80:DB84)</f>
        <v>304596</v>
      </c>
      <c r="DC85" s="104">
        <f>SUM(DC80:DC83)</f>
        <v>319592</v>
      </c>
      <c r="DD85" s="104">
        <f>SUM(DD80:DD84)</f>
        <v>199574</v>
      </c>
      <c r="DE85" s="104">
        <f t="shared" ref="DE85:DM85" si="464">SUM(DE80:DE83)</f>
        <v>120347</v>
      </c>
      <c r="DF85" s="104">
        <f>SUM(DF80:DF83)</f>
        <v>130497</v>
      </c>
      <c r="DG85" s="104">
        <v>91005</v>
      </c>
      <c r="DH85" s="104">
        <f>SUM(DH80:DH84)</f>
        <v>151665</v>
      </c>
      <c r="DI85" s="104">
        <f>SUM(DI80:DI84)</f>
        <v>73039</v>
      </c>
      <c r="DJ85" s="104">
        <f>SUM(DJ80:DJ84)</f>
        <v>67586</v>
      </c>
      <c r="DK85" s="104">
        <f t="shared" si="464"/>
        <v>91694</v>
      </c>
      <c r="DL85" s="104">
        <f t="shared" si="464"/>
        <v>188795</v>
      </c>
      <c r="DM85" s="106">
        <f t="shared" si="464"/>
        <v>0</v>
      </c>
      <c r="DN85" s="168">
        <f>SUM(DN80:DN84)</f>
        <v>-373780.95999999996</v>
      </c>
      <c r="DO85" s="104">
        <f t="shared" ref="DO85:DY85" si="465">SUM(DO80:DO84)</f>
        <v>-97873.959999999963</v>
      </c>
      <c r="DP85" s="104">
        <f t="shared" si="465"/>
        <v>-272642.3</v>
      </c>
      <c r="DQ85" s="104">
        <f t="shared" si="465"/>
        <v>-100281.83000000002</v>
      </c>
      <c r="DR85" s="104">
        <f t="shared" si="465"/>
        <v>12648.610000000008</v>
      </c>
      <c r="DS85" s="104">
        <f t="shared" si="465"/>
        <v>-10762.369999999999</v>
      </c>
      <c r="DT85" s="104">
        <f t="shared" si="465"/>
        <v>81257.25</v>
      </c>
      <c r="DU85" s="104">
        <f t="shared" si="465"/>
        <v>-689.88000000000466</v>
      </c>
      <c r="DV85" s="104">
        <f t="shared" si="465"/>
        <v>-14218.029999999999</v>
      </c>
      <c r="DW85" s="104">
        <f t="shared" si="465"/>
        <v>6598</v>
      </c>
      <c r="DX85" s="104">
        <f t="shared" si="465"/>
        <v>-131893</v>
      </c>
      <c r="DY85" s="106">
        <f t="shared" si="465"/>
        <v>-341882</v>
      </c>
    </row>
    <row r="86" spans="1:129" x14ac:dyDescent="0.25">
      <c r="A86" s="25" t="s">
        <v>43</v>
      </c>
      <c r="B86" s="165"/>
      <c r="C86" s="100"/>
      <c r="D86" s="100"/>
      <c r="E86" s="100"/>
      <c r="F86" s="100"/>
      <c r="G86" s="100"/>
      <c r="H86" s="100"/>
      <c r="I86" s="100"/>
      <c r="J86" s="100"/>
      <c r="K86" s="100"/>
      <c r="L86" s="165"/>
      <c r="M86" s="100"/>
      <c r="N86" s="100"/>
      <c r="O86" s="100"/>
      <c r="P86" s="100"/>
      <c r="Q86" s="100"/>
      <c r="R86" s="100"/>
      <c r="S86" s="100"/>
      <c r="T86" s="100"/>
      <c r="U86" s="100"/>
      <c r="V86" s="100"/>
      <c r="W86" s="100"/>
      <c r="X86" s="165"/>
      <c r="Y86" s="100"/>
      <c r="Z86" s="100"/>
      <c r="AA86" s="100"/>
      <c r="AB86" s="100"/>
      <c r="AC86" s="100"/>
      <c r="AD86" s="100"/>
      <c r="AE86" s="100"/>
      <c r="AF86" s="100"/>
      <c r="AG86" s="200"/>
      <c r="AH86" s="165"/>
      <c r="AI86" s="100"/>
      <c r="AJ86" s="100"/>
      <c r="AK86" s="100"/>
      <c r="AL86" s="100"/>
      <c r="AM86" s="100"/>
      <c r="AN86" s="100"/>
      <c r="AO86" s="100"/>
      <c r="AP86" s="100"/>
      <c r="AQ86" s="100"/>
      <c r="AR86" s="100"/>
      <c r="AS86" s="200"/>
      <c r="AT86" s="165"/>
      <c r="AU86" s="100"/>
      <c r="AV86" s="100"/>
      <c r="AW86" s="100"/>
      <c r="AX86" s="100"/>
      <c r="AY86" s="100"/>
      <c r="AZ86" s="100"/>
      <c r="BA86" s="100"/>
      <c r="BB86" s="100"/>
      <c r="BC86" s="100"/>
      <c r="BD86" s="100"/>
      <c r="BE86" s="200"/>
      <c r="BF86" s="165"/>
      <c r="BG86" s="100"/>
      <c r="BH86" s="100"/>
      <c r="BI86" s="100"/>
      <c r="BJ86" s="100"/>
      <c r="BK86" s="100"/>
      <c r="BL86" s="100"/>
      <c r="BM86" s="100"/>
      <c r="BN86" s="100"/>
      <c r="BO86" s="100"/>
      <c r="BP86" s="100"/>
      <c r="BQ86" s="200"/>
      <c r="BR86" s="165"/>
      <c r="BS86" s="100"/>
      <c r="BT86" s="100"/>
      <c r="BU86" s="100"/>
      <c r="BV86" s="100"/>
      <c r="BW86" s="100"/>
      <c r="BX86" s="100"/>
      <c r="BY86" s="100"/>
      <c r="BZ86" s="100"/>
      <c r="CA86" s="100"/>
      <c r="CB86" s="100"/>
      <c r="CC86" s="200"/>
      <c r="CD86" s="165"/>
      <c r="CE86" s="100"/>
      <c r="CF86" s="100"/>
      <c r="CG86" s="100"/>
      <c r="CH86" s="100"/>
      <c r="CI86" s="100"/>
      <c r="CJ86" s="100"/>
      <c r="CK86" s="100"/>
      <c r="CL86" s="100"/>
      <c r="CM86" s="100"/>
      <c r="CN86" s="100"/>
      <c r="CO86" s="200"/>
      <c r="CP86" s="165"/>
      <c r="CQ86" s="100"/>
      <c r="CR86" s="100"/>
      <c r="CS86" s="100"/>
      <c r="CT86" s="100"/>
      <c r="CU86" s="100"/>
      <c r="CV86" s="100"/>
      <c r="CW86" s="100"/>
      <c r="CX86" s="100"/>
      <c r="CY86" s="100"/>
      <c r="CZ86" s="100"/>
      <c r="DA86" s="200"/>
      <c r="DB86" s="165"/>
      <c r="DC86" s="100"/>
      <c r="DD86" s="100"/>
      <c r="DE86" s="100"/>
      <c r="DF86" s="100"/>
      <c r="DG86" s="100"/>
      <c r="DH86" s="100"/>
      <c r="DI86" s="100"/>
      <c r="DJ86" s="100"/>
      <c r="DK86" s="100"/>
      <c r="DL86" s="100"/>
      <c r="DM86" s="200"/>
      <c r="DN86" s="165"/>
      <c r="DO86" s="100"/>
      <c r="DP86" s="100"/>
      <c r="DQ86" s="100"/>
      <c r="DR86" s="100"/>
      <c r="DS86" s="100"/>
      <c r="DT86" s="100"/>
      <c r="DU86" s="100"/>
      <c r="DV86" s="100"/>
      <c r="DW86" s="100"/>
      <c r="DX86" s="100"/>
      <c r="DY86" s="200"/>
    </row>
    <row r="87" spans="1:129" x14ac:dyDescent="0.25">
      <c r="A87" s="19" t="s">
        <v>34</v>
      </c>
      <c r="B87" s="165"/>
      <c r="C87" s="100"/>
      <c r="D87" s="100"/>
      <c r="E87" s="100"/>
      <c r="F87" s="100"/>
      <c r="G87" s="100"/>
      <c r="H87" s="100"/>
      <c r="I87" s="100"/>
      <c r="J87" s="100"/>
      <c r="K87" s="100"/>
      <c r="L87" s="165"/>
      <c r="M87" s="100"/>
      <c r="N87" s="100"/>
      <c r="O87" s="100"/>
      <c r="P87" s="100"/>
      <c r="Q87" s="100"/>
      <c r="R87" s="100"/>
      <c r="S87" s="100"/>
      <c r="T87" s="100"/>
      <c r="U87" s="100"/>
      <c r="V87" s="100"/>
      <c r="W87" s="100"/>
      <c r="X87" s="165"/>
      <c r="Y87" s="100"/>
      <c r="Z87" s="100"/>
      <c r="AA87" s="100"/>
      <c r="AB87" s="100"/>
      <c r="AC87" s="100"/>
      <c r="AD87" s="100"/>
      <c r="AE87" s="100"/>
      <c r="AF87" s="100"/>
      <c r="AG87" s="200"/>
      <c r="AH87" s="165"/>
      <c r="AI87" s="100"/>
      <c r="AJ87" s="100"/>
      <c r="AK87" s="100"/>
      <c r="AL87" s="100"/>
      <c r="AM87" s="100"/>
      <c r="AN87" s="100"/>
      <c r="AO87" s="100"/>
      <c r="AP87" s="100"/>
      <c r="AQ87" s="100"/>
      <c r="AR87" s="100"/>
      <c r="AS87" s="200"/>
      <c r="AT87" s="165"/>
      <c r="AU87" s="100"/>
      <c r="AV87" s="100"/>
      <c r="AW87" s="100"/>
      <c r="AX87" s="100"/>
      <c r="AY87" s="100"/>
      <c r="AZ87" s="100"/>
      <c r="BA87" s="100"/>
      <c r="BB87" s="100"/>
      <c r="BC87" s="100"/>
      <c r="BD87" s="100"/>
      <c r="BE87" s="200"/>
      <c r="BF87" s="165"/>
      <c r="BG87" s="100"/>
      <c r="BH87" s="100"/>
      <c r="BI87" s="100"/>
      <c r="BJ87" s="100"/>
      <c r="BK87" s="100"/>
      <c r="BL87" s="100"/>
      <c r="BM87" s="100"/>
      <c r="BN87" s="100"/>
      <c r="BO87" s="100"/>
      <c r="BP87" s="100"/>
      <c r="BQ87" s="200"/>
      <c r="BR87" s="165"/>
      <c r="BS87" s="100"/>
      <c r="BT87" s="100"/>
      <c r="BU87" s="100"/>
      <c r="BV87" s="100"/>
      <c r="BW87" s="100"/>
      <c r="BX87" s="100"/>
      <c r="BY87" s="100"/>
      <c r="BZ87" s="100"/>
      <c r="CA87" s="100"/>
      <c r="CB87" s="100"/>
      <c r="CC87" s="200"/>
      <c r="CD87" s="165"/>
      <c r="CE87" s="100"/>
      <c r="CF87" s="100"/>
      <c r="CG87" s="100"/>
      <c r="CH87" s="100"/>
      <c r="CI87" s="100"/>
      <c r="CJ87" s="100"/>
      <c r="CK87" s="100"/>
      <c r="CL87" s="100"/>
      <c r="CM87" s="100"/>
      <c r="CN87" s="100"/>
      <c r="CO87" s="200"/>
      <c r="CP87" s="165"/>
      <c r="CQ87" s="100"/>
      <c r="CR87" s="100"/>
      <c r="CS87" s="100"/>
      <c r="CT87" s="100"/>
      <c r="CU87" s="100"/>
      <c r="CV87" s="100"/>
      <c r="CW87" s="100"/>
      <c r="CX87" s="100"/>
      <c r="CY87" s="100"/>
      <c r="CZ87" s="100"/>
      <c r="DA87" s="200"/>
      <c r="DB87" s="165"/>
      <c r="DC87" s="100"/>
      <c r="DD87" s="100"/>
      <c r="DE87" s="100"/>
      <c r="DF87" s="100"/>
      <c r="DG87" s="100"/>
      <c r="DH87" s="100"/>
      <c r="DI87" s="100"/>
      <c r="DJ87" s="100"/>
      <c r="DK87" s="100"/>
      <c r="DL87" s="100"/>
      <c r="DM87" s="200"/>
      <c r="DN87" s="165"/>
      <c r="DO87" s="100"/>
      <c r="DP87" s="100"/>
      <c r="DQ87" s="100"/>
      <c r="DR87" s="100"/>
      <c r="DS87" s="100"/>
      <c r="DT87" s="100"/>
      <c r="DU87" s="100"/>
      <c r="DV87" s="100"/>
      <c r="DW87" s="100"/>
      <c r="DX87" s="100"/>
      <c r="DY87" s="200"/>
    </row>
    <row r="88" spans="1:129" x14ac:dyDescent="0.25">
      <c r="A88" s="19" t="s">
        <v>35</v>
      </c>
      <c r="B88" s="165"/>
      <c r="C88" s="100"/>
      <c r="D88" s="100"/>
      <c r="E88" s="100"/>
      <c r="F88" s="100"/>
      <c r="G88" s="100"/>
      <c r="H88" s="100"/>
      <c r="I88" s="100"/>
      <c r="J88" s="100"/>
      <c r="K88" s="100"/>
      <c r="L88" s="165"/>
      <c r="M88" s="100"/>
      <c r="N88" s="100"/>
      <c r="O88" s="100"/>
      <c r="P88" s="100"/>
      <c r="Q88" s="100"/>
      <c r="R88" s="100"/>
      <c r="S88" s="100"/>
      <c r="T88" s="100"/>
      <c r="U88" s="100"/>
      <c r="V88" s="100"/>
      <c r="W88" s="100"/>
      <c r="X88" s="165"/>
      <c r="Y88" s="100"/>
      <c r="Z88" s="100"/>
      <c r="AA88" s="100"/>
      <c r="AB88" s="100"/>
      <c r="AC88" s="100"/>
      <c r="AD88" s="100"/>
      <c r="AE88" s="100"/>
      <c r="AF88" s="100"/>
      <c r="AG88" s="200"/>
      <c r="AH88" s="165"/>
      <c r="AI88" s="100"/>
      <c r="AJ88" s="100"/>
      <c r="AK88" s="100"/>
      <c r="AL88" s="100"/>
      <c r="AM88" s="100"/>
      <c r="AN88" s="100"/>
      <c r="AO88" s="100"/>
      <c r="AP88" s="100"/>
      <c r="AQ88" s="100"/>
      <c r="AR88" s="100"/>
      <c r="AS88" s="200"/>
      <c r="AT88" s="165"/>
      <c r="AU88" s="100"/>
      <c r="AV88" s="100"/>
      <c r="AW88" s="100"/>
      <c r="AX88" s="100"/>
      <c r="AY88" s="100"/>
      <c r="AZ88" s="100"/>
      <c r="BA88" s="100"/>
      <c r="BB88" s="100"/>
      <c r="BC88" s="100"/>
      <c r="BD88" s="100"/>
      <c r="BE88" s="200"/>
      <c r="BF88" s="165"/>
      <c r="BG88" s="100"/>
      <c r="BH88" s="100"/>
      <c r="BI88" s="100"/>
      <c r="BJ88" s="100"/>
      <c r="BK88" s="100"/>
      <c r="BL88" s="100"/>
      <c r="BM88" s="100"/>
      <c r="BN88" s="100"/>
      <c r="BO88" s="100"/>
      <c r="BP88" s="100"/>
      <c r="BQ88" s="200"/>
      <c r="BR88" s="165"/>
      <c r="BS88" s="100"/>
      <c r="BT88" s="100"/>
      <c r="BU88" s="100"/>
      <c r="BV88" s="100"/>
      <c r="BW88" s="100"/>
      <c r="BX88" s="100"/>
      <c r="BY88" s="100"/>
      <c r="BZ88" s="100"/>
      <c r="CA88" s="100"/>
      <c r="CB88" s="100"/>
      <c r="CC88" s="200"/>
      <c r="CD88" s="165"/>
      <c r="CE88" s="100"/>
      <c r="CF88" s="100"/>
      <c r="CG88" s="100"/>
      <c r="CH88" s="100"/>
      <c r="CI88" s="100"/>
      <c r="CJ88" s="100"/>
      <c r="CK88" s="100"/>
      <c r="CL88" s="100"/>
      <c r="CM88" s="100"/>
      <c r="CN88" s="100"/>
      <c r="CO88" s="200"/>
      <c r="CP88" s="165"/>
      <c r="CQ88" s="100"/>
      <c r="CR88" s="100"/>
      <c r="CS88" s="100"/>
      <c r="CT88" s="100"/>
      <c r="CU88" s="100"/>
      <c r="CV88" s="100"/>
      <c r="CW88" s="100"/>
      <c r="CX88" s="100"/>
      <c r="CY88" s="100"/>
      <c r="CZ88" s="100"/>
      <c r="DA88" s="200"/>
      <c r="DB88" s="165"/>
      <c r="DC88" s="100"/>
      <c r="DD88" s="100"/>
      <c r="DE88" s="100"/>
      <c r="DF88" s="100"/>
      <c r="DG88" s="100"/>
      <c r="DH88" s="100"/>
      <c r="DI88" s="100"/>
      <c r="DJ88" s="100"/>
      <c r="DK88" s="100"/>
      <c r="DL88" s="100"/>
      <c r="DM88" s="200"/>
      <c r="DN88" s="165"/>
      <c r="DO88" s="100"/>
      <c r="DP88" s="100"/>
      <c r="DQ88" s="100"/>
      <c r="DR88" s="100"/>
      <c r="DS88" s="100"/>
      <c r="DT88" s="100"/>
      <c r="DU88" s="100"/>
      <c r="DV88" s="100"/>
      <c r="DW88" s="100"/>
      <c r="DX88" s="100"/>
      <c r="DY88" s="200"/>
    </row>
    <row r="89" spans="1:129" x14ac:dyDescent="0.25">
      <c r="A89" s="19" t="s">
        <v>36</v>
      </c>
      <c r="B89" s="165"/>
      <c r="C89" s="100"/>
      <c r="D89" s="100"/>
      <c r="E89" s="100"/>
      <c r="F89" s="100"/>
      <c r="G89" s="100"/>
      <c r="H89" s="100"/>
      <c r="I89" s="100"/>
      <c r="J89" s="100"/>
      <c r="K89" s="100"/>
      <c r="L89" s="165"/>
      <c r="M89" s="100"/>
      <c r="N89" s="100"/>
      <c r="O89" s="100"/>
      <c r="P89" s="100"/>
      <c r="Q89" s="100"/>
      <c r="R89" s="100"/>
      <c r="S89" s="100"/>
      <c r="T89" s="100"/>
      <c r="U89" s="100"/>
      <c r="V89" s="100"/>
      <c r="W89" s="100"/>
      <c r="X89" s="165"/>
      <c r="Y89" s="100"/>
      <c r="Z89" s="100"/>
      <c r="AA89" s="100"/>
      <c r="AB89" s="100"/>
      <c r="AC89" s="100"/>
      <c r="AD89" s="100"/>
      <c r="AE89" s="100"/>
      <c r="AF89" s="100"/>
      <c r="AG89" s="200"/>
      <c r="AH89" s="165"/>
      <c r="AI89" s="100"/>
      <c r="AJ89" s="100"/>
      <c r="AK89" s="100"/>
      <c r="AL89" s="100"/>
      <c r="AM89" s="100"/>
      <c r="AN89" s="100"/>
      <c r="AO89" s="100"/>
      <c r="AP89" s="100"/>
      <c r="AQ89" s="100"/>
      <c r="AR89" s="100"/>
      <c r="AS89" s="200"/>
      <c r="AT89" s="165"/>
      <c r="AU89" s="100"/>
      <c r="AV89" s="100"/>
      <c r="AW89" s="100"/>
      <c r="AX89" s="100"/>
      <c r="AY89" s="100"/>
      <c r="AZ89" s="100"/>
      <c r="BA89" s="100"/>
      <c r="BB89" s="100"/>
      <c r="BC89" s="100"/>
      <c r="BD89" s="100"/>
      <c r="BE89" s="200"/>
      <c r="BF89" s="165"/>
      <c r="BG89" s="100"/>
      <c r="BH89" s="100"/>
      <c r="BI89" s="100"/>
      <c r="BJ89" s="100"/>
      <c r="BK89" s="100"/>
      <c r="BL89" s="100"/>
      <c r="BM89" s="100"/>
      <c r="BN89" s="100"/>
      <c r="BO89" s="100"/>
      <c r="BP89" s="100"/>
      <c r="BQ89" s="200"/>
      <c r="BR89" s="165"/>
      <c r="BS89" s="100"/>
      <c r="BT89" s="100"/>
      <c r="BU89" s="100"/>
      <c r="BV89" s="100"/>
      <c r="BW89" s="100"/>
      <c r="BX89" s="100"/>
      <c r="BY89" s="100"/>
      <c r="BZ89" s="100"/>
      <c r="CA89" s="100"/>
      <c r="CB89" s="100"/>
      <c r="CC89" s="200"/>
      <c r="CD89" s="165"/>
      <c r="CE89" s="100"/>
      <c r="CF89" s="100"/>
      <c r="CG89" s="100"/>
      <c r="CH89" s="100"/>
      <c r="CI89" s="100"/>
      <c r="CJ89" s="100"/>
      <c r="CK89" s="100"/>
      <c r="CL89" s="100"/>
      <c r="CM89" s="100"/>
      <c r="CN89" s="100"/>
      <c r="CO89" s="200"/>
      <c r="CP89" s="165"/>
      <c r="CQ89" s="100"/>
      <c r="CR89" s="100"/>
      <c r="CS89" s="100"/>
      <c r="CT89" s="100"/>
      <c r="CU89" s="100"/>
      <c r="CV89" s="100"/>
      <c r="CW89" s="100"/>
      <c r="CX89" s="100"/>
      <c r="CY89" s="100"/>
      <c r="CZ89" s="100"/>
      <c r="DA89" s="200"/>
      <c r="DB89" s="165"/>
      <c r="DC89" s="100"/>
      <c r="DD89" s="100"/>
      <c r="DE89" s="100"/>
      <c r="DF89" s="100"/>
      <c r="DG89" s="100"/>
      <c r="DH89" s="100"/>
      <c r="DI89" s="100"/>
      <c r="DJ89" s="100"/>
      <c r="DK89" s="100"/>
      <c r="DL89" s="100"/>
      <c r="DM89" s="200"/>
      <c r="DN89" s="165"/>
      <c r="DO89" s="100"/>
      <c r="DP89" s="100"/>
      <c r="DQ89" s="100"/>
      <c r="DR89" s="100"/>
      <c r="DS89" s="100"/>
      <c r="DT89" s="100"/>
      <c r="DU89" s="100"/>
      <c r="DV89" s="100"/>
      <c r="DW89" s="100"/>
      <c r="DX89" s="100"/>
      <c r="DY89" s="200"/>
    </row>
    <row r="90" spans="1:129" x14ac:dyDescent="0.25">
      <c r="A90" s="19" t="s">
        <v>37</v>
      </c>
      <c r="B90" s="165"/>
      <c r="C90" s="100"/>
      <c r="D90" s="100"/>
      <c r="E90" s="100"/>
      <c r="F90" s="100"/>
      <c r="G90" s="100"/>
      <c r="H90" s="100"/>
      <c r="I90" s="100"/>
      <c r="J90" s="100"/>
      <c r="K90" s="100"/>
      <c r="L90" s="165"/>
      <c r="M90" s="100"/>
      <c r="N90" s="100"/>
      <c r="O90" s="100"/>
      <c r="P90" s="100"/>
      <c r="Q90" s="100"/>
      <c r="R90" s="100"/>
      <c r="S90" s="100"/>
      <c r="T90" s="100"/>
      <c r="U90" s="100"/>
      <c r="V90" s="100"/>
      <c r="W90" s="100"/>
      <c r="X90" s="165"/>
      <c r="Y90" s="100"/>
      <c r="Z90" s="100"/>
      <c r="AA90" s="100"/>
      <c r="AB90" s="100"/>
      <c r="AC90" s="100"/>
      <c r="AD90" s="100"/>
      <c r="AE90" s="100"/>
      <c r="AF90" s="100"/>
      <c r="AG90" s="200"/>
      <c r="AH90" s="165"/>
      <c r="AI90" s="100"/>
      <c r="AJ90" s="100"/>
      <c r="AK90" s="100"/>
      <c r="AL90" s="100"/>
      <c r="AM90" s="100"/>
      <c r="AN90" s="100"/>
      <c r="AO90" s="100"/>
      <c r="AP90" s="100"/>
      <c r="AQ90" s="100"/>
      <c r="AR90" s="100"/>
      <c r="AS90" s="200"/>
      <c r="AT90" s="165"/>
      <c r="AU90" s="100"/>
      <c r="AV90" s="100"/>
      <c r="AW90" s="100"/>
      <c r="AX90" s="100"/>
      <c r="AY90" s="100"/>
      <c r="AZ90" s="100"/>
      <c r="BA90" s="100"/>
      <c r="BB90" s="100"/>
      <c r="BC90" s="100"/>
      <c r="BD90" s="100"/>
      <c r="BE90" s="200"/>
      <c r="BF90" s="165"/>
      <c r="BG90" s="100"/>
      <c r="BH90" s="100"/>
      <c r="BI90" s="100"/>
      <c r="BJ90" s="100"/>
      <c r="BK90" s="100"/>
      <c r="BL90" s="100"/>
      <c r="BM90" s="100"/>
      <c r="BN90" s="100"/>
      <c r="BO90" s="100"/>
      <c r="BP90" s="100"/>
      <c r="BQ90" s="200"/>
      <c r="BR90" s="165"/>
      <c r="BS90" s="100"/>
      <c r="BT90" s="100"/>
      <c r="BU90" s="100"/>
      <c r="BV90" s="100"/>
      <c r="BW90" s="100"/>
      <c r="BX90" s="100"/>
      <c r="BY90" s="100"/>
      <c r="BZ90" s="100"/>
      <c r="CA90" s="100"/>
      <c r="CB90" s="100"/>
      <c r="CC90" s="200"/>
      <c r="CD90" s="165"/>
      <c r="CE90" s="100"/>
      <c r="CF90" s="100"/>
      <c r="CG90" s="100"/>
      <c r="CH90" s="100"/>
      <c r="CI90" s="100"/>
      <c r="CJ90" s="100"/>
      <c r="CK90" s="100"/>
      <c r="CL90" s="100"/>
      <c r="CM90" s="100"/>
      <c r="CN90" s="100"/>
      <c r="CO90" s="200"/>
      <c r="CP90" s="165"/>
      <c r="CQ90" s="100"/>
      <c r="CR90" s="100"/>
      <c r="CS90" s="100"/>
      <c r="CT90" s="100"/>
      <c r="CU90" s="100"/>
      <c r="CV90" s="100"/>
      <c r="CW90" s="100"/>
      <c r="CX90" s="100"/>
      <c r="CY90" s="100"/>
      <c r="CZ90" s="100"/>
      <c r="DA90" s="200"/>
      <c r="DB90" s="165"/>
      <c r="DC90" s="100"/>
      <c r="DD90" s="100"/>
      <c r="DE90" s="100"/>
      <c r="DF90" s="100"/>
      <c r="DG90" s="100"/>
      <c r="DH90" s="100"/>
      <c r="DI90" s="100"/>
      <c r="DJ90" s="100"/>
      <c r="DK90" s="100"/>
      <c r="DL90" s="100"/>
      <c r="DM90" s="200"/>
      <c r="DN90" s="165"/>
      <c r="DO90" s="100"/>
      <c r="DP90" s="100"/>
      <c r="DQ90" s="100"/>
      <c r="DR90" s="100"/>
      <c r="DS90" s="100"/>
      <c r="DT90" s="100"/>
      <c r="DU90" s="100"/>
      <c r="DV90" s="100"/>
      <c r="DW90" s="100"/>
      <c r="DX90" s="100"/>
      <c r="DY90" s="200"/>
    </row>
    <row r="91" spans="1:129" x14ac:dyDescent="0.25">
      <c r="A91" s="19" t="s">
        <v>38</v>
      </c>
      <c r="B91" s="165"/>
      <c r="C91" s="100"/>
      <c r="D91" s="100"/>
      <c r="E91" s="100"/>
      <c r="F91" s="100"/>
      <c r="G91" s="100"/>
      <c r="H91" s="100"/>
      <c r="I91" s="100"/>
      <c r="J91" s="100"/>
      <c r="K91" s="100"/>
      <c r="L91" s="165"/>
      <c r="M91" s="100"/>
      <c r="N91" s="100"/>
      <c r="O91" s="100"/>
      <c r="P91" s="100"/>
      <c r="Q91" s="100"/>
      <c r="R91" s="100"/>
      <c r="S91" s="100"/>
      <c r="T91" s="100"/>
      <c r="U91" s="100"/>
      <c r="V91" s="100"/>
      <c r="W91" s="100"/>
      <c r="X91" s="165"/>
      <c r="Y91" s="100"/>
      <c r="Z91" s="100"/>
      <c r="AA91" s="100"/>
      <c r="AB91" s="100"/>
      <c r="AC91" s="100"/>
      <c r="AD91" s="100"/>
      <c r="AE91" s="100"/>
      <c r="AF91" s="100"/>
      <c r="AG91" s="200"/>
      <c r="AH91" s="165"/>
      <c r="AI91" s="100"/>
      <c r="AJ91" s="100"/>
      <c r="AK91" s="100"/>
      <c r="AL91" s="100"/>
      <c r="AM91" s="100"/>
      <c r="AN91" s="100"/>
      <c r="AO91" s="100"/>
      <c r="AP91" s="100"/>
      <c r="AQ91" s="100"/>
      <c r="AR91" s="100"/>
      <c r="AS91" s="200"/>
      <c r="AT91" s="165"/>
      <c r="AU91" s="100"/>
      <c r="AV91" s="100"/>
      <c r="AW91" s="100"/>
      <c r="AX91" s="100"/>
      <c r="AY91" s="100"/>
      <c r="AZ91" s="100"/>
      <c r="BA91" s="100"/>
      <c r="BB91" s="100"/>
      <c r="BC91" s="100"/>
      <c r="BD91" s="100"/>
      <c r="BE91" s="200"/>
      <c r="BF91" s="165"/>
      <c r="BG91" s="100"/>
      <c r="BH91" s="100"/>
      <c r="BI91" s="100"/>
      <c r="BJ91" s="100"/>
      <c r="BK91" s="100"/>
      <c r="BL91" s="100"/>
      <c r="BM91" s="100"/>
      <c r="BN91" s="100"/>
      <c r="BO91" s="100"/>
      <c r="BP91" s="100"/>
      <c r="BQ91" s="200"/>
      <c r="BR91" s="165"/>
      <c r="BS91" s="100"/>
      <c r="BT91" s="100"/>
      <c r="BU91" s="100"/>
      <c r="BV91" s="100"/>
      <c r="BW91" s="100"/>
      <c r="BX91" s="100"/>
      <c r="BY91" s="100"/>
      <c r="BZ91" s="100"/>
      <c r="CA91" s="100"/>
      <c r="CB91" s="100"/>
      <c r="CC91" s="200"/>
      <c r="CD91" s="165"/>
      <c r="CE91" s="100"/>
      <c r="CF91" s="100"/>
      <c r="CG91" s="100"/>
      <c r="CH91" s="100"/>
      <c r="CI91" s="100"/>
      <c r="CJ91" s="100"/>
      <c r="CK91" s="100"/>
      <c r="CL91" s="100"/>
      <c r="CM91" s="100"/>
      <c r="CN91" s="100"/>
      <c r="CO91" s="200"/>
      <c r="CP91" s="165"/>
      <c r="CQ91" s="100"/>
      <c r="CR91" s="100"/>
      <c r="CS91" s="100"/>
      <c r="CT91" s="100"/>
      <c r="CU91" s="100"/>
      <c r="CV91" s="100"/>
      <c r="CW91" s="100"/>
      <c r="CX91" s="100"/>
      <c r="CY91" s="100"/>
      <c r="CZ91" s="100"/>
      <c r="DA91" s="200"/>
      <c r="DB91" s="165"/>
      <c r="DC91" s="100"/>
      <c r="DD91" s="100"/>
      <c r="DE91" s="100"/>
      <c r="DF91" s="100"/>
      <c r="DG91" s="100"/>
      <c r="DH91" s="100"/>
      <c r="DI91" s="100"/>
      <c r="DJ91" s="100"/>
      <c r="DK91" s="100"/>
      <c r="DL91" s="100"/>
      <c r="DM91" s="200"/>
      <c r="DN91" s="165"/>
      <c r="DO91" s="100"/>
      <c r="DP91" s="100"/>
      <c r="DQ91" s="100"/>
      <c r="DR91" s="100"/>
      <c r="DS91" s="100"/>
      <c r="DT91" s="100"/>
      <c r="DU91" s="100"/>
      <c r="DV91" s="100"/>
      <c r="DW91" s="100"/>
      <c r="DX91" s="100"/>
      <c r="DY91" s="200"/>
    </row>
    <row r="92" spans="1:129" x14ac:dyDescent="0.25">
      <c r="A92" s="19" t="s">
        <v>39</v>
      </c>
      <c r="B92" s="165"/>
      <c r="C92" s="100"/>
      <c r="D92" s="100"/>
      <c r="E92" s="100"/>
      <c r="F92" s="100"/>
      <c r="G92" s="100"/>
      <c r="H92" s="100"/>
      <c r="I92" s="100"/>
      <c r="J92" s="100"/>
      <c r="K92" s="100"/>
      <c r="L92" s="165"/>
      <c r="M92" s="100"/>
      <c r="N92" s="100"/>
      <c r="O92" s="100"/>
      <c r="P92" s="100"/>
      <c r="Q92" s="100"/>
      <c r="R92" s="100"/>
      <c r="S92" s="100"/>
      <c r="T92" s="100"/>
      <c r="U92" s="100"/>
      <c r="V92" s="100"/>
      <c r="W92" s="100"/>
      <c r="X92" s="165"/>
      <c r="Y92" s="100"/>
      <c r="Z92" s="100"/>
      <c r="AA92" s="100"/>
      <c r="AB92" s="100"/>
      <c r="AC92" s="100"/>
      <c r="AD92" s="100"/>
      <c r="AE92" s="100"/>
      <c r="AF92" s="100"/>
      <c r="AG92" s="200"/>
      <c r="AH92" s="165"/>
      <c r="AI92" s="100"/>
      <c r="AJ92" s="100"/>
      <c r="AK92" s="100"/>
      <c r="AL92" s="100"/>
      <c r="AM92" s="100"/>
      <c r="AN92" s="100"/>
      <c r="AO92" s="100"/>
      <c r="AP92" s="100"/>
      <c r="AQ92" s="100"/>
      <c r="AR92" s="100"/>
      <c r="AS92" s="200"/>
      <c r="AT92" s="165"/>
      <c r="AU92" s="100"/>
      <c r="AV92" s="100"/>
      <c r="AW92" s="100"/>
      <c r="AX92" s="100"/>
      <c r="AY92" s="100"/>
      <c r="AZ92" s="100"/>
      <c r="BA92" s="100"/>
      <c r="BB92" s="100"/>
      <c r="BC92" s="100"/>
      <c r="BD92" s="100"/>
      <c r="BE92" s="200"/>
      <c r="BF92" s="165"/>
      <c r="BG92" s="100"/>
      <c r="BH92" s="100"/>
      <c r="BI92" s="100"/>
      <c r="BJ92" s="100"/>
      <c r="BK92" s="100"/>
      <c r="BL92" s="100"/>
      <c r="BM92" s="100"/>
      <c r="BN92" s="100"/>
      <c r="BO92" s="100"/>
      <c r="BP92" s="100"/>
      <c r="BQ92" s="200"/>
      <c r="BR92" s="165"/>
      <c r="BS92" s="100"/>
      <c r="BT92" s="100"/>
      <c r="BU92" s="100"/>
      <c r="BV92" s="100"/>
      <c r="BW92" s="100"/>
      <c r="BX92" s="100"/>
      <c r="BY92" s="100"/>
      <c r="BZ92" s="100"/>
      <c r="CA92" s="100"/>
      <c r="CB92" s="100"/>
      <c r="CC92" s="200"/>
      <c r="CD92" s="165"/>
      <c r="CE92" s="100"/>
      <c r="CF92" s="100"/>
      <c r="CG92" s="100"/>
      <c r="CH92" s="100"/>
      <c r="CI92" s="100"/>
      <c r="CJ92" s="100"/>
      <c r="CK92" s="100"/>
      <c r="CL92" s="100"/>
      <c r="CM92" s="100"/>
      <c r="CN92" s="100"/>
      <c r="CO92" s="200"/>
      <c r="CP92" s="165"/>
      <c r="CQ92" s="100"/>
      <c r="CR92" s="100"/>
      <c r="CS92" s="100"/>
      <c r="CT92" s="100"/>
      <c r="CU92" s="100"/>
      <c r="CV92" s="100"/>
      <c r="CW92" s="100"/>
      <c r="CX92" s="100"/>
      <c r="CY92" s="100"/>
      <c r="CZ92" s="100"/>
      <c r="DA92" s="200"/>
      <c r="DB92" s="165"/>
      <c r="DC92" s="100"/>
      <c r="DD92" s="100"/>
      <c r="DE92" s="100"/>
      <c r="DF92" s="100"/>
      <c r="DG92" s="100"/>
      <c r="DH92" s="100"/>
      <c r="DI92" s="100"/>
      <c r="DJ92" s="100"/>
      <c r="DK92" s="100"/>
      <c r="DL92" s="100"/>
      <c r="DM92" s="200"/>
      <c r="DN92" s="165"/>
      <c r="DO92" s="100"/>
      <c r="DP92" s="100"/>
      <c r="DQ92" s="100"/>
      <c r="DR92" s="100"/>
      <c r="DS92" s="100"/>
      <c r="DT92" s="100"/>
      <c r="DU92" s="100"/>
      <c r="DV92" s="100"/>
      <c r="DW92" s="100"/>
      <c r="DX92" s="100"/>
      <c r="DY92" s="200"/>
    </row>
    <row r="93" spans="1:129" x14ac:dyDescent="0.25">
      <c r="A93" s="26" t="s">
        <v>41</v>
      </c>
      <c r="B93" s="165"/>
      <c r="C93" s="100"/>
      <c r="D93" s="100"/>
      <c r="E93" s="100"/>
      <c r="F93" s="100"/>
      <c r="G93" s="100"/>
      <c r="H93" s="100"/>
      <c r="I93" s="100"/>
      <c r="J93" s="100"/>
      <c r="K93" s="100"/>
      <c r="L93" s="165"/>
      <c r="M93" s="100"/>
      <c r="N93" s="100"/>
      <c r="O93" s="100"/>
      <c r="P93" s="100"/>
      <c r="Q93" s="100"/>
      <c r="R93" s="100"/>
      <c r="S93" s="100"/>
      <c r="T93" s="100"/>
      <c r="U93" s="100"/>
      <c r="V93" s="100"/>
      <c r="W93" s="100"/>
      <c r="X93" s="165"/>
      <c r="Y93" s="100"/>
      <c r="Z93" s="100"/>
      <c r="AA93" s="100"/>
      <c r="AB93" s="100"/>
      <c r="AC93" s="100"/>
      <c r="AD93" s="100"/>
      <c r="AE93" s="100"/>
      <c r="AF93" s="100"/>
      <c r="AG93" s="200"/>
      <c r="AH93" s="165"/>
      <c r="AI93" s="100"/>
      <c r="AJ93" s="100"/>
      <c r="AK93" s="100"/>
      <c r="AL93" s="100"/>
      <c r="AM93" s="100"/>
      <c r="AN93" s="100"/>
      <c r="AO93" s="100"/>
      <c r="AP93" s="100"/>
      <c r="AQ93" s="100"/>
      <c r="AR93" s="100"/>
      <c r="AS93" s="200"/>
      <c r="AT93" s="165"/>
      <c r="AU93" s="100"/>
      <c r="AV93" s="100"/>
      <c r="AW93" s="100"/>
      <c r="AX93" s="100"/>
      <c r="AY93" s="100"/>
      <c r="AZ93" s="100"/>
      <c r="BA93" s="100"/>
      <c r="BB93" s="100"/>
      <c r="BC93" s="100"/>
      <c r="BD93" s="100"/>
      <c r="BE93" s="200"/>
      <c r="BF93" s="165"/>
      <c r="BG93" s="100"/>
      <c r="BH93" s="100"/>
      <c r="BI93" s="100"/>
      <c r="BJ93" s="100"/>
      <c r="BK93" s="100"/>
      <c r="BL93" s="100"/>
      <c r="BM93" s="100"/>
      <c r="BN93" s="100"/>
      <c r="BO93" s="100"/>
      <c r="BP93" s="100"/>
      <c r="BQ93" s="200"/>
      <c r="BR93" s="165"/>
      <c r="BS93" s="100"/>
      <c r="BT93" s="100"/>
      <c r="BU93" s="100"/>
      <c r="BV93" s="100"/>
      <c r="BW93" s="100"/>
      <c r="BX93" s="100"/>
      <c r="BY93" s="100"/>
      <c r="BZ93" s="100"/>
      <c r="CA93" s="100"/>
      <c r="CB93" s="100"/>
      <c r="CC93" s="200"/>
      <c r="CD93" s="165"/>
      <c r="CE93" s="100"/>
      <c r="CF93" s="100"/>
      <c r="CG93" s="100"/>
      <c r="CH93" s="100"/>
      <c r="CI93" s="100"/>
      <c r="CJ93" s="100"/>
      <c r="CK93" s="100"/>
      <c r="CL93" s="100"/>
      <c r="CM93" s="100"/>
      <c r="CN93" s="100"/>
      <c r="CO93" s="200"/>
      <c r="CP93" s="165"/>
      <c r="CQ93" s="100"/>
      <c r="CR93" s="100"/>
      <c r="CS93" s="100"/>
      <c r="CT93" s="100"/>
      <c r="CU93" s="100"/>
      <c r="CV93" s="100"/>
      <c r="CW93" s="100"/>
      <c r="CX93" s="100"/>
      <c r="CY93" s="100"/>
      <c r="CZ93" s="100"/>
      <c r="DA93" s="200"/>
      <c r="DB93" s="165"/>
      <c r="DC93" s="100"/>
      <c r="DD93" s="100"/>
      <c r="DE93" s="100"/>
      <c r="DF93" s="100"/>
      <c r="DG93" s="100"/>
      <c r="DH93" s="100"/>
      <c r="DI93" s="100"/>
      <c r="DJ93" s="100"/>
      <c r="DK93" s="100"/>
      <c r="DL93" s="100"/>
      <c r="DM93" s="200"/>
      <c r="DN93" s="165"/>
      <c r="DO93" s="100"/>
      <c r="DP93" s="100"/>
      <c r="DQ93" s="100"/>
      <c r="DR93" s="100"/>
      <c r="DS93" s="100"/>
      <c r="DT93" s="100"/>
      <c r="DU93" s="100"/>
      <c r="DV93" s="100"/>
      <c r="DW93" s="100"/>
      <c r="DX93" s="100"/>
      <c r="DY93" s="200"/>
    </row>
    <row r="94" spans="1:129" x14ac:dyDescent="0.25">
      <c r="A94" s="19" t="s">
        <v>34</v>
      </c>
      <c r="B94" s="168">
        <f t="shared" ref="B94:K96" si="466">B80</f>
        <v>290184.34999999998</v>
      </c>
      <c r="C94" s="104">
        <f t="shared" si="466"/>
        <v>173694.58</v>
      </c>
      <c r="D94" s="104">
        <f t="shared" si="466"/>
        <v>93046.57</v>
      </c>
      <c r="E94" s="104">
        <f t="shared" si="466"/>
        <v>56249.74</v>
      </c>
      <c r="F94" s="104">
        <f t="shared" si="466"/>
        <v>50714.32</v>
      </c>
      <c r="G94" s="104">
        <f t="shared" si="466"/>
        <v>53585.19</v>
      </c>
      <c r="H94" s="104">
        <f t="shared" si="466"/>
        <v>53876.92</v>
      </c>
      <c r="I94" s="104">
        <f t="shared" si="466"/>
        <v>95539.76</v>
      </c>
      <c r="J94" s="104">
        <f t="shared" si="466"/>
        <v>183309.73</v>
      </c>
      <c r="K94" s="106">
        <f t="shared" si="466"/>
        <v>278139.59999999998</v>
      </c>
      <c r="L94" s="168">
        <f t="shared" ref="L94:V96" si="467">L80</f>
        <v>323987.03999999998</v>
      </c>
      <c r="M94" s="104">
        <f t="shared" si="467"/>
        <v>272058.15999999997</v>
      </c>
      <c r="N94" s="104">
        <f t="shared" si="467"/>
        <v>226857.71</v>
      </c>
      <c r="O94" s="104">
        <f t="shared" si="467"/>
        <v>193932.69</v>
      </c>
      <c r="P94" s="104">
        <f t="shared" si="467"/>
        <v>91233.32</v>
      </c>
      <c r="Q94" s="104">
        <f t="shared" si="467"/>
        <v>60391.040000000001</v>
      </c>
      <c r="R94" s="104">
        <f t="shared" si="467"/>
        <v>49442.95</v>
      </c>
      <c r="S94" s="104">
        <f t="shared" si="467"/>
        <v>49130.43</v>
      </c>
      <c r="T94" s="104">
        <f t="shared" si="467"/>
        <v>66041.929999999993</v>
      </c>
      <c r="U94" s="104">
        <f t="shared" si="467"/>
        <v>79599.649999999994</v>
      </c>
      <c r="V94" s="104">
        <f t="shared" si="467"/>
        <v>167766.9</v>
      </c>
      <c r="W94" s="104">
        <f t="shared" ref="W94:AG96" si="468">W80</f>
        <v>291304.71999999997</v>
      </c>
      <c r="X94" s="168">
        <f t="shared" si="468"/>
        <v>63326.639999999985</v>
      </c>
      <c r="Y94" s="104">
        <f t="shared" si="468"/>
        <v>-20238.110000000015</v>
      </c>
      <c r="Z94" s="104">
        <f t="shared" si="468"/>
        <v>1813.25</v>
      </c>
      <c r="AA94" s="104">
        <f t="shared" si="468"/>
        <v>-4141.3000000000029</v>
      </c>
      <c r="AB94" s="104">
        <f t="shared" si="468"/>
        <v>1271.3700000000026</v>
      </c>
      <c r="AC94" s="104">
        <f t="shared" si="468"/>
        <v>4454.760000000002</v>
      </c>
      <c r="AD94" s="104">
        <f t="shared" si="468"/>
        <v>-12165.009999999995</v>
      </c>
      <c r="AE94" s="104">
        <f t="shared" si="468"/>
        <v>15940.11</v>
      </c>
      <c r="AF94" s="104">
        <f t="shared" si="468"/>
        <v>15542.830000000016</v>
      </c>
      <c r="AG94" s="106">
        <f t="shared" si="468"/>
        <v>-13165.119999999995</v>
      </c>
      <c r="AH94" s="168">
        <f t="shared" ref="AH94:AR96" si="469">AH80</f>
        <v>253256.29</v>
      </c>
      <c r="AI94" s="104">
        <f t="shared" si="469"/>
        <v>277329.28999999998</v>
      </c>
      <c r="AJ94" s="104">
        <f t="shared" si="469"/>
        <v>237118.31</v>
      </c>
      <c r="AK94" s="104">
        <f t="shared" si="469"/>
        <v>146383.71</v>
      </c>
      <c r="AL94" s="104">
        <f t="shared" si="469"/>
        <v>71337.87</v>
      </c>
      <c r="AM94" s="104">
        <f t="shared" si="469"/>
        <v>58077.84</v>
      </c>
      <c r="AN94" s="104">
        <f t="shared" si="469"/>
        <v>55990.71</v>
      </c>
      <c r="AO94" s="104">
        <f t="shared" si="469"/>
        <v>47334.15</v>
      </c>
      <c r="AP94" s="104">
        <f t="shared" si="469"/>
        <v>50591.7</v>
      </c>
      <c r="AQ94" s="104">
        <f t="shared" si="469"/>
        <v>67404.27</v>
      </c>
      <c r="AR94" s="104">
        <f t="shared" si="469"/>
        <v>236095.46</v>
      </c>
      <c r="AS94" s="106">
        <f t="shared" ref="AS94:BE94" si="470">AS80</f>
        <v>320297.28999999998</v>
      </c>
      <c r="AT94" s="168">
        <f t="shared" si="470"/>
        <v>70730.749999999971</v>
      </c>
      <c r="AU94" s="104">
        <f t="shared" si="470"/>
        <v>-5271.1300000000047</v>
      </c>
      <c r="AV94" s="104">
        <f t="shared" si="470"/>
        <v>-10260.600000000006</v>
      </c>
      <c r="AW94" s="104">
        <f t="shared" si="470"/>
        <v>47548.98000000001</v>
      </c>
      <c r="AX94" s="104">
        <f t="shared" si="470"/>
        <v>19895.450000000012</v>
      </c>
      <c r="AY94" s="104">
        <f t="shared" si="470"/>
        <v>2313.2000000000044</v>
      </c>
      <c r="AZ94" s="104">
        <f t="shared" si="470"/>
        <v>-6547.760000000002</v>
      </c>
      <c r="BA94" s="104">
        <f t="shared" si="470"/>
        <v>1796.2799999999988</v>
      </c>
      <c r="BB94" s="104">
        <f t="shared" si="470"/>
        <v>15450.229999999996</v>
      </c>
      <c r="BC94" s="104">
        <f t="shared" si="470"/>
        <v>12195.37999999999</v>
      </c>
      <c r="BD94" s="104">
        <f t="shared" si="470"/>
        <v>-68328.56</v>
      </c>
      <c r="BE94" s="106">
        <f t="shared" si="470"/>
        <v>-28992.570000000007</v>
      </c>
      <c r="BF94" s="168">
        <f t="shared" ref="BF94:BP94" si="471">BF80</f>
        <v>530097.03</v>
      </c>
      <c r="BG94" s="104">
        <f t="shared" si="471"/>
        <v>463399.63</v>
      </c>
      <c r="BH94" s="104">
        <f t="shared" si="471"/>
        <v>376170.26</v>
      </c>
      <c r="BI94" s="104">
        <f t="shared" si="471"/>
        <v>201794.92</v>
      </c>
      <c r="BJ94" s="104">
        <f t="shared" si="471"/>
        <v>94995.16</v>
      </c>
      <c r="BK94" s="104">
        <f t="shared" si="471"/>
        <v>84718.31</v>
      </c>
      <c r="BL94" s="104">
        <f t="shared" si="471"/>
        <v>65931.27</v>
      </c>
      <c r="BM94" s="104">
        <f t="shared" si="471"/>
        <v>62067.32</v>
      </c>
      <c r="BN94" s="104">
        <f t="shared" si="471"/>
        <v>60955.97</v>
      </c>
      <c r="BO94" s="104">
        <f t="shared" si="471"/>
        <v>98148.15</v>
      </c>
      <c r="BP94" s="104">
        <f t="shared" si="471"/>
        <v>114518.685</v>
      </c>
      <c r="BQ94" s="106">
        <f t="shared" ref="BQ94:BR94" si="472">BQ80</f>
        <v>485420.6</v>
      </c>
      <c r="BR94" s="168">
        <f t="shared" si="472"/>
        <v>-276840.74</v>
      </c>
      <c r="BS94" s="104">
        <f t="shared" ref="BS94:CC94" si="473">BS80</f>
        <v>-186070.34000000003</v>
      </c>
      <c r="BT94" s="104">
        <f t="shared" si="473"/>
        <v>-139051.95000000001</v>
      </c>
      <c r="BU94" s="104">
        <f t="shared" si="473"/>
        <v>-55411.210000000021</v>
      </c>
      <c r="BV94" s="104">
        <f t="shared" si="473"/>
        <v>-23657.290000000008</v>
      </c>
      <c r="BW94" s="104">
        <f t="shared" si="473"/>
        <v>-26640.47</v>
      </c>
      <c r="BX94" s="104">
        <f t="shared" si="473"/>
        <v>-9940.5600000000049</v>
      </c>
      <c r="BY94" s="104">
        <f t="shared" si="473"/>
        <v>-14733.169999999998</v>
      </c>
      <c r="BZ94" s="104">
        <f t="shared" si="473"/>
        <v>-10364.270000000004</v>
      </c>
      <c r="CA94" s="104">
        <f t="shared" si="473"/>
        <v>-30743.87999999999</v>
      </c>
      <c r="CB94" s="104">
        <f t="shared" si="473"/>
        <v>121576.77499999999</v>
      </c>
      <c r="CC94" s="106">
        <f t="shared" si="473"/>
        <v>-165123.31</v>
      </c>
      <c r="CD94" s="168">
        <f>CD80</f>
        <v>453572.85</v>
      </c>
      <c r="CE94" s="104">
        <f>CE80</f>
        <v>273551.28999999998</v>
      </c>
      <c r="CF94" s="104">
        <f t="shared" ref="CF94:CG94" si="474">CF80</f>
        <v>309203.17</v>
      </c>
      <c r="CG94" s="104">
        <f t="shared" si="474"/>
        <v>143990.59</v>
      </c>
      <c r="CH94" s="104">
        <f t="shared" ref="CH94:CI94" si="475">CH80</f>
        <v>82558.679999999993</v>
      </c>
      <c r="CI94" s="104">
        <f t="shared" si="475"/>
        <v>73358.17</v>
      </c>
      <c r="CJ94" s="104">
        <f t="shared" ref="CJ94:CM94" si="476">CJ80</f>
        <v>51365.65</v>
      </c>
      <c r="CK94" s="104">
        <f t="shared" si="476"/>
        <v>52963.55</v>
      </c>
      <c r="CL94" s="104">
        <f t="shared" si="476"/>
        <v>58295.17</v>
      </c>
      <c r="CM94" s="104">
        <f t="shared" si="476"/>
        <v>63584</v>
      </c>
      <c r="CN94" s="104">
        <f>4695+257619</f>
        <v>262314</v>
      </c>
      <c r="CO94" s="106">
        <v>256416</v>
      </c>
      <c r="CP94" s="169">
        <f t="shared" ref="CP94:CP98" si="477">CP80</f>
        <v>-76524.180000000051</v>
      </c>
      <c r="CQ94" s="104">
        <f t="shared" ref="CQ94:DA94" si="478">CQ80</f>
        <v>-189848.34000000003</v>
      </c>
      <c r="CR94" s="104">
        <f t="shared" si="478"/>
        <v>-66967.090000000026</v>
      </c>
      <c r="CS94" s="104">
        <f t="shared" si="478"/>
        <v>-57804.330000000016</v>
      </c>
      <c r="CT94" s="104">
        <f t="shared" si="478"/>
        <v>-12436.48000000001</v>
      </c>
      <c r="CU94" s="104">
        <f t="shared" si="478"/>
        <v>-11360.14</v>
      </c>
      <c r="CV94" s="104">
        <f t="shared" si="478"/>
        <v>-14565.620000000003</v>
      </c>
      <c r="CW94" s="104">
        <f t="shared" si="478"/>
        <v>-9103.7699999999968</v>
      </c>
      <c r="CX94" s="104">
        <f t="shared" si="478"/>
        <v>-2660.8000000000029</v>
      </c>
      <c r="CY94" s="104">
        <f t="shared" si="478"/>
        <v>-34564.149999999994</v>
      </c>
      <c r="CZ94" s="104">
        <f t="shared" si="478"/>
        <v>147795.315</v>
      </c>
      <c r="DA94" s="106">
        <f t="shared" si="478"/>
        <v>-229004.59999999998</v>
      </c>
      <c r="DB94" s="168">
        <f>DB80</f>
        <v>197948</v>
      </c>
      <c r="DC94" s="104">
        <f>DC80</f>
        <v>197770</v>
      </c>
      <c r="DD94" s="104">
        <f t="shared" ref="DD94:DN94" si="479">DD80</f>
        <v>136602</v>
      </c>
      <c r="DE94" s="104">
        <f t="shared" si="479"/>
        <v>21392</v>
      </c>
      <c r="DF94" s="104">
        <f t="shared" si="479"/>
        <v>94151</v>
      </c>
      <c r="DG94" s="104">
        <v>61118</v>
      </c>
      <c r="DH94" s="104">
        <f t="shared" si="479"/>
        <v>105366</v>
      </c>
      <c r="DI94" s="104">
        <f t="shared" si="479"/>
        <v>50230</v>
      </c>
      <c r="DJ94" s="104">
        <f t="shared" si="479"/>
        <v>47751</v>
      </c>
      <c r="DK94" s="104">
        <f t="shared" si="479"/>
        <v>65641</v>
      </c>
      <c r="DL94" s="104">
        <f t="shared" si="479"/>
        <v>141281</v>
      </c>
      <c r="DM94" s="106">
        <f t="shared" si="479"/>
        <v>0</v>
      </c>
      <c r="DN94" s="169">
        <f t="shared" si="479"/>
        <v>-255624.84999999998</v>
      </c>
      <c r="DO94" s="104">
        <f t="shared" ref="DO94:DY94" si="480">DO80</f>
        <v>-75781.289999999979</v>
      </c>
      <c r="DP94" s="104">
        <f t="shared" si="480"/>
        <v>-172601.16999999998</v>
      </c>
      <c r="DQ94" s="104">
        <f t="shared" si="480"/>
        <v>-122598.59</v>
      </c>
      <c r="DR94" s="104">
        <f t="shared" si="480"/>
        <v>11592.320000000007</v>
      </c>
      <c r="DS94" s="104">
        <f t="shared" si="480"/>
        <v>-12240.169999999998</v>
      </c>
      <c r="DT94" s="104">
        <f t="shared" si="480"/>
        <v>54000.35</v>
      </c>
      <c r="DU94" s="104">
        <f t="shared" si="480"/>
        <v>-2733.5500000000029</v>
      </c>
      <c r="DV94" s="104">
        <f t="shared" si="480"/>
        <v>-10544.169999999998</v>
      </c>
      <c r="DW94" s="104">
        <f t="shared" si="480"/>
        <v>2057</v>
      </c>
      <c r="DX94" s="104">
        <f t="shared" si="480"/>
        <v>-121033</v>
      </c>
      <c r="DY94" s="106">
        <f t="shared" si="480"/>
        <v>-256416</v>
      </c>
    </row>
    <row r="95" spans="1:129" x14ac:dyDescent="0.25">
      <c r="A95" s="19" t="s">
        <v>35</v>
      </c>
      <c r="B95" s="168">
        <f t="shared" ref="B95:J95" si="481">B81</f>
        <v>13581.98</v>
      </c>
      <c r="C95" s="104">
        <f t="shared" si="481"/>
        <v>9607</v>
      </c>
      <c r="D95" s="104">
        <f t="shared" si="481"/>
        <v>5084.55</v>
      </c>
      <c r="E95" s="104">
        <f t="shared" si="481"/>
        <v>2990.51</v>
      </c>
      <c r="F95" s="104">
        <f t="shared" si="481"/>
        <v>2900.88</v>
      </c>
      <c r="G95" s="104">
        <f t="shared" si="481"/>
        <v>2701.9</v>
      </c>
      <c r="H95" s="104">
        <f t="shared" si="481"/>
        <v>2814.98</v>
      </c>
      <c r="I95" s="104">
        <f t="shared" si="481"/>
        <v>5224</v>
      </c>
      <c r="J95" s="104">
        <f t="shared" si="481"/>
        <v>9379.4599999999991</v>
      </c>
      <c r="K95" s="106">
        <f t="shared" si="466"/>
        <v>12396.24</v>
      </c>
      <c r="L95" s="168">
        <f t="shared" si="467"/>
        <v>15335.48</v>
      </c>
      <c r="M95" s="104">
        <f t="shared" si="467"/>
        <v>13625.86</v>
      </c>
      <c r="N95" s="104">
        <f t="shared" si="467"/>
        <v>12010.88</v>
      </c>
      <c r="O95" s="104">
        <f t="shared" si="467"/>
        <v>11024.85</v>
      </c>
      <c r="P95" s="104">
        <f t="shared" si="467"/>
        <v>5190.42</v>
      </c>
      <c r="Q95" s="104">
        <f t="shared" si="467"/>
        <v>3362.07</v>
      </c>
      <c r="R95" s="104">
        <f t="shared" si="467"/>
        <v>2822.99</v>
      </c>
      <c r="S95" s="104">
        <f t="shared" si="467"/>
        <v>2821.47</v>
      </c>
      <c r="T95" s="104">
        <f t="shared" si="467"/>
        <v>3612.95</v>
      </c>
      <c r="U95" s="104">
        <f t="shared" si="467"/>
        <v>4452.34</v>
      </c>
      <c r="V95" s="104">
        <f t="shared" si="467"/>
        <v>9473.7999999999993</v>
      </c>
      <c r="W95" s="104">
        <f t="shared" si="468"/>
        <v>17007.11</v>
      </c>
      <c r="X95" s="168">
        <f t="shared" si="468"/>
        <v>1571.1000000000004</v>
      </c>
      <c r="Y95" s="104">
        <f t="shared" si="468"/>
        <v>-1417.8500000000004</v>
      </c>
      <c r="Z95" s="104">
        <f t="shared" si="468"/>
        <v>-105.86999999999989</v>
      </c>
      <c r="AA95" s="104">
        <f t="shared" si="468"/>
        <v>-371.55999999999995</v>
      </c>
      <c r="AB95" s="104">
        <f t="shared" si="468"/>
        <v>77.890000000000327</v>
      </c>
      <c r="AC95" s="104">
        <f t="shared" si="468"/>
        <v>-119.56999999999971</v>
      </c>
      <c r="AD95" s="104">
        <f t="shared" si="468"/>
        <v>-797.9699999999998</v>
      </c>
      <c r="AE95" s="104">
        <f t="shared" si="468"/>
        <v>771.65999999999985</v>
      </c>
      <c r="AF95" s="104">
        <f t="shared" si="468"/>
        <v>-94.340000000000146</v>
      </c>
      <c r="AG95" s="106">
        <f t="shared" si="468"/>
        <v>-4610.8700000000008</v>
      </c>
      <c r="AH95" s="168">
        <f t="shared" si="469"/>
        <v>13016.44</v>
      </c>
      <c r="AI95" s="104">
        <f t="shared" si="469"/>
        <v>15108.74</v>
      </c>
      <c r="AJ95" s="104">
        <f t="shared" si="469"/>
        <v>16438.900000000001</v>
      </c>
      <c r="AK95" s="104">
        <f t="shared" si="469"/>
        <v>9157.2000000000007</v>
      </c>
      <c r="AL95" s="104">
        <f t="shared" si="469"/>
        <v>3524.43</v>
      </c>
      <c r="AM95" s="104">
        <f t="shared" si="469"/>
        <v>2682.02</v>
      </c>
      <c r="AN95" s="104">
        <f t="shared" si="469"/>
        <v>2658.89</v>
      </c>
      <c r="AO95" s="104">
        <f t="shared" si="469"/>
        <v>2369.4499999999998</v>
      </c>
      <c r="AP95" s="104">
        <f t="shared" si="469"/>
        <v>2411.52</v>
      </c>
      <c r="AQ95" s="104">
        <f t="shared" si="469"/>
        <v>3410.11</v>
      </c>
      <c r="AR95" s="104">
        <f t="shared" si="469"/>
        <v>11665.52</v>
      </c>
      <c r="AS95" s="106">
        <f t="shared" ref="AS95:BE95" si="482">AS81</f>
        <v>16182.17</v>
      </c>
      <c r="AT95" s="168">
        <f t="shared" si="482"/>
        <v>2319.0399999999991</v>
      </c>
      <c r="AU95" s="104">
        <f t="shared" si="482"/>
        <v>-1482.8799999999992</v>
      </c>
      <c r="AV95" s="104">
        <f t="shared" si="482"/>
        <v>-4428.0200000000023</v>
      </c>
      <c r="AW95" s="104">
        <f t="shared" si="482"/>
        <v>1867.6499999999996</v>
      </c>
      <c r="AX95" s="104">
        <f t="shared" si="482"/>
        <v>1665.9900000000002</v>
      </c>
      <c r="AY95" s="104">
        <f t="shared" si="482"/>
        <v>680.05000000000018</v>
      </c>
      <c r="AZ95" s="104">
        <f t="shared" si="482"/>
        <v>164.09999999999991</v>
      </c>
      <c r="BA95" s="104">
        <f t="shared" si="482"/>
        <v>452.02</v>
      </c>
      <c r="BB95" s="104">
        <f t="shared" si="482"/>
        <v>1201.4299999999998</v>
      </c>
      <c r="BC95" s="104">
        <f t="shared" si="482"/>
        <v>1042.23</v>
      </c>
      <c r="BD95" s="104">
        <f t="shared" si="482"/>
        <v>-2191.7200000000012</v>
      </c>
      <c r="BE95" s="106">
        <f t="shared" si="482"/>
        <v>824.94000000000051</v>
      </c>
      <c r="BF95" s="168">
        <f t="shared" ref="BF95:BP95" si="483">BF81</f>
        <v>27096.83</v>
      </c>
      <c r="BG95" s="104">
        <f t="shared" si="483"/>
        <v>31569.08</v>
      </c>
      <c r="BH95" s="104">
        <f t="shared" si="483"/>
        <v>25923.200000000001</v>
      </c>
      <c r="BI95" s="104">
        <f t="shared" si="483"/>
        <v>14984.74</v>
      </c>
      <c r="BJ95" s="104">
        <f t="shared" si="483"/>
        <v>5515.82</v>
      </c>
      <c r="BK95" s="104">
        <f t="shared" si="483"/>
        <v>4899.22</v>
      </c>
      <c r="BL95" s="104">
        <f t="shared" si="483"/>
        <v>3847.83</v>
      </c>
      <c r="BM95" s="104">
        <f t="shared" si="483"/>
        <v>3739.36</v>
      </c>
      <c r="BN95" s="104">
        <f t="shared" si="483"/>
        <v>3721.95</v>
      </c>
      <c r="BO95" s="104">
        <f t="shared" si="483"/>
        <v>5787.07</v>
      </c>
      <c r="BP95" s="104">
        <f t="shared" si="483"/>
        <v>8767.64</v>
      </c>
      <c r="BQ95" s="106">
        <f t="shared" ref="BQ95:BR95" si="484">BQ81</f>
        <v>28519.17</v>
      </c>
      <c r="BR95" s="168">
        <f t="shared" si="484"/>
        <v>-14080.390000000001</v>
      </c>
      <c r="BS95" s="104">
        <f t="shared" ref="BS95:CC95" si="485">BS81</f>
        <v>-16460.340000000004</v>
      </c>
      <c r="BT95" s="104">
        <f t="shared" si="485"/>
        <v>-9484.2999999999993</v>
      </c>
      <c r="BU95" s="104">
        <f t="shared" si="485"/>
        <v>-5827.5399999999991</v>
      </c>
      <c r="BV95" s="104">
        <f t="shared" si="485"/>
        <v>-1991.3899999999999</v>
      </c>
      <c r="BW95" s="104">
        <f t="shared" si="485"/>
        <v>-2217.2000000000003</v>
      </c>
      <c r="BX95" s="104">
        <f t="shared" si="485"/>
        <v>-1188.94</v>
      </c>
      <c r="BY95" s="104">
        <f t="shared" si="485"/>
        <v>-1369.9100000000003</v>
      </c>
      <c r="BZ95" s="104">
        <f t="shared" si="485"/>
        <v>-1310.4299999999998</v>
      </c>
      <c r="CA95" s="104">
        <f t="shared" si="485"/>
        <v>-2376.9599999999996</v>
      </c>
      <c r="CB95" s="104">
        <f t="shared" si="485"/>
        <v>2897.880000000001</v>
      </c>
      <c r="CC95" s="106">
        <f t="shared" si="485"/>
        <v>-12336.999999999998</v>
      </c>
      <c r="CD95" s="168">
        <f>CD81</f>
        <v>28128.01</v>
      </c>
      <c r="CE95" s="104">
        <f t="shared" ref="CE95:CG95" si="486">CE81</f>
        <v>16565.09</v>
      </c>
      <c r="CF95" s="104">
        <f t="shared" si="486"/>
        <v>18820.96</v>
      </c>
      <c r="CG95" s="104">
        <f t="shared" si="486"/>
        <v>9205.89</v>
      </c>
      <c r="CH95" s="104">
        <f t="shared" ref="CH95:CI95" si="487">CH81</f>
        <v>5382.11</v>
      </c>
      <c r="CI95" s="104">
        <f t="shared" si="487"/>
        <v>4448.97</v>
      </c>
      <c r="CJ95" s="104">
        <f t="shared" ref="CJ95:CM95" si="488">CJ81</f>
        <v>3226.26</v>
      </c>
      <c r="CK95" s="104">
        <f t="shared" si="488"/>
        <v>3392.84</v>
      </c>
      <c r="CL95" s="104">
        <f t="shared" si="488"/>
        <v>3742.27</v>
      </c>
      <c r="CM95" s="104">
        <f t="shared" si="488"/>
        <v>4153</v>
      </c>
      <c r="CN95" s="104">
        <f>16+9401</f>
        <v>9417</v>
      </c>
      <c r="CO95" s="106">
        <v>16497</v>
      </c>
      <c r="CP95" s="169">
        <f t="shared" si="477"/>
        <v>1031.1799999999967</v>
      </c>
      <c r="CQ95" s="104">
        <f t="shared" ref="CQ95:DA95" si="489">CQ81</f>
        <v>-15003.990000000002</v>
      </c>
      <c r="CR95" s="104">
        <f t="shared" si="489"/>
        <v>-7102.2400000000016</v>
      </c>
      <c r="CS95" s="104">
        <f t="shared" si="489"/>
        <v>-5778.85</v>
      </c>
      <c r="CT95" s="104">
        <f t="shared" si="489"/>
        <v>-133.71000000000004</v>
      </c>
      <c r="CU95" s="104">
        <f t="shared" si="489"/>
        <v>-450.25</v>
      </c>
      <c r="CV95" s="104">
        <f t="shared" si="489"/>
        <v>-621.56999999999971</v>
      </c>
      <c r="CW95" s="104">
        <f t="shared" si="489"/>
        <v>-346.52</v>
      </c>
      <c r="CX95" s="104">
        <f t="shared" si="489"/>
        <v>20.320000000000164</v>
      </c>
      <c r="CY95" s="104">
        <f t="shared" si="489"/>
        <v>-1634.0699999999997</v>
      </c>
      <c r="CZ95" s="104">
        <f t="shared" si="489"/>
        <v>649.36000000000058</v>
      </c>
      <c r="DA95" s="106">
        <f t="shared" si="489"/>
        <v>-12022.169999999998</v>
      </c>
      <c r="DB95" s="168">
        <f>DB81</f>
        <v>20517</v>
      </c>
      <c r="DC95" s="104">
        <f t="shared" ref="DC95:DK95" si="490">DC81</f>
        <v>19418</v>
      </c>
      <c r="DD95" s="104">
        <f t="shared" si="490"/>
        <v>20398</v>
      </c>
      <c r="DE95" s="104">
        <f t="shared" si="490"/>
        <v>7649</v>
      </c>
      <c r="DF95" s="104">
        <f t="shared" si="490"/>
        <v>10477</v>
      </c>
      <c r="DG95" s="104">
        <v>6292</v>
      </c>
      <c r="DH95" s="104">
        <f t="shared" si="490"/>
        <v>6574</v>
      </c>
      <c r="DI95" s="104">
        <f t="shared" si="490"/>
        <v>5364</v>
      </c>
      <c r="DJ95" s="104">
        <f t="shared" si="490"/>
        <v>4959</v>
      </c>
      <c r="DK95" s="104">
        <f t="shared" si="490"/>
        <v>7404</v>
      </c>
      <c r="DL95" s="104">
        <f t="shared" ref="DL95:DN95" si="491">DL81</f>
        <v>15235</v>
      </c>
      <c r="DM95" s="106">
        <f t="shared" si="491"/>
        <v>0</v>
      </c>
      <c r="DN95" s="169">
        <f t="shared" si="491"/>
        <v>-7611.0099999999984</v>
      </c>
      <c r="DO95" s="104">
        <f t="shared" ref="DO95:DY95" si="492">DO81</f>
        <v>2852.91</v>
      </c>
      <c r="DP95" s="104">
        <f t="shared" si="492"/>
        <v>1577.0400000000009</v>
      </c>
      <c r="DQ95" s="104">
        <f t="shared" si="492"/>
        <v>-1556.8899999999994</v>
      </c>
      <c r="DR95" s="104">
        <f t="shared" si="492"/>
        <v>5094.8900000000003</v>
      </c>
      <c r="DS95" s="104">
        <f t="shared" si="492"/>
        <v>1843.0299999999997</v>
      </c>
      <c r="DT95" s="104">
        <f t="shared" si="492"/>
        <v>3347.74</v>
      </c>
      <c r="DU95" s="104">
        <f t="shared" si="492"/>
        <v>1971.1599999999999</v>
      </c>
      <c r="DV95" s="104">
        <f t="shared" si="492"/>
        <v>1216.73</v>
      </c>
      <c r="DW95" s="104">
        <f t="shared" si="492"/>
        <v>3251</v>
      </c>
      <c r="DX95" s="104">
        <f t="shared" si="492"/>
        <v>5818</v>
      </c>
      <c r="DY95" s="106">
        <f t="shared" si="492"/>
        <v>-16497</v>
      </c>
    </row>
    <row r="96" spans="1:129" x14ac:dyDescent="0.25">
      <c r="A96" s="19" t="s">
        <v>36</v>
      </c>
      <c r="B96" s="168">
        <f t="shared" ref="B96:J96" si="493">B82</f>
        <v>122728.26</v>
      </c>
      <c r="C96" s="104">
        <f t="shared" si="493"/>
        <v>72701.86</v>
      </c>
      <c r="D96" s="104">
        <f t="shared" si="493"/>
        <v>34957.949999999997</v>
      </c>
      <c r="E96" s="104">
        <f t="shared" si="493"/>
        <v>21340.31</v>
      </c>
      <c r="F96" s="104">
        <f t="shared" si="493"/>
        <v>20201.32</v>
      </c>
      <c r="G96" s="104">
        <f t="shared" si="493"/>
        <v>20183.310000000001</v>
      </c>
      <c r="H96" s="104">
        <f t="shared" si="493"/>
        <v>19164.45</v>
      </c>
      <c r="I96" s="104">
        <f t="shared" si="493"/>
        <v>30060.639999999999</v>
      </c>
      <c r="J96" s="104">
        <f t="shared" si="493"/>
        <v>55659.15</v>
      </c>
      <c r="K96" s="106">
        <f t="shared" si="466"/>
        <v>85962.240000000005</v>
      </c>
      <c r="L96" s="168">
        <f t="shared" si="467"/>
        <v>102309.03</v>
      </c>
      <c r="M96" s="104">
        <f t="shared" si="467"/>
        <v>84980.29</v>
      </c>
      <c r="N96" s="104">
        <f t="shared" si="467"/>
        <v>66939.490000000005</v>
      </c>
      <c r="O96" s="104">
        <f t="shared" si="467"/>
        <v>50102.51</v>
      </c>
      <c r="P96" s="104">
        <f t="shared" si="467"/>
        <v>24313.599999999999</v>
      </c>
      <c r="Q96" s="104">
        <f t="shared" si="467"/>
        <v>17206.419999999998</v>
      </c>
      <c r="R96" s="104">
        <f t="shared" si="467"/>
        <v>15466.46</v>
      </c>
      <c r="S96" s="104">
        <f t="shared" si="467"/>
        <v>15760.55</v>
      </c>
      <c r="T96" s="104">
        <f t="shared" si="467"/>
        <v>21939.87</v>
      </c>
      <c r="U96" s="104">
        <f t="shared" si="467"/>
        <v>23020.49</v>
      </c>
      <c r="V96" s="104">
        <f t="shared" si="467"/>
        <v>47388.08</v>
      </c>
      <c r="W96" s="104">
        <f t="shared" si="468"/>
        <v>85680.89</v>
      </c>
      <c r="X96" s="168">
        <f t="shared" si="468"/>
        <v>55788.76999999999</v>
      </c>
      <c r="Y96" s="104">
        <f t="shared" si="468"/>
        <v>22599.35</v>
      </c>
      <c r="Z96" s="104">
        <f t="shared" si="468"/>
        <v>10644.349999999999</v>
      </c>
      <c r="AA96" s="104">
        <f t="shared" si="468"/>
        <v>4133.8900000000031</v>
      </c>
      <c r="AB96" s="104">
        <f t="shared" si="468"/>
        <v>4734.8600000000006</v>
      </c>
      <c r="AC96" s="104">
        <f t="shared" si="468"/>
        <v>4422.760000000002</v>
      </c>
      <c r="AD96" s="104">
        <f t="shared" si="468"/>
        <v>-2775.4199999999983</v>
      </c>
      <c r="AE96" s="104">
        <f t="shared" si="468"/>
        <v>7040.1499999999978</v>
      </c>
      <c r="AF96" s="104">
        <f t="shared" si="468"/>
        <v>8271.07</v>
      </c>
      <c r="AG96" s="106">
        <f t="shared" si="468"/>
        <v>281.35000000000582</v>
      </c>
      <c r="AH96" s="168">
        <f t="shared" si="469"/>
        <v>68215.12</v>
      </c>
      <c r="AI96" s="104">
        <f t="shared" si="469"/>
        <v>83690.14</v>
      </c>
      <c r="AJ96" s="104">
        <f t="shared" si="469"/>
        <v>63301.95</v>
      </c>
      <c r="AK96" s="104">
        <f t="shared" si="469"/>
        <v>40791.980000000003</v>
      </c>
      <c r="AL96" s="104">
        <f t="shared" si="469"/>
        <v>18920.13</v>
      </c>
      <c r="AM96" s="104">
        <f t="shared" si="469"/>
        <v>15221.07</v>
      </c>
      <c r="AN96" s="104">
        <f t="shared" si="469"/>
        <v>17570.64</v>
      </c>
      <c r="AO96" s="104">
        <f t="shared" si="469"/>
        <v>14266.88</v>
      </c>
      <c r="AP96" s="104">
        <f t="shared" si="469"/>
        <v>15524.4</v>
      </c>
      <c r="AQ96" s="104">
        <f t="shared" si="469"/>
        <v>26762.15</v>
      </c>
      <c r="AR96" s="104">
        <f t="shared" si="469"/>
        <v>96507.37</v>
      </c>
      <c r="AS96" s="106">
        <f t="shared" ref="AS96:BE96" si="494">AS82</f>
        <v>137760.98000000001</v>
      </c>
      <c r="AT96" s="168">
        <f t="shared" si="494"/>
        <v>34093.910000000003</v>
      </c>
      <c r="AU96" s="104">
        <f t="shared" si="494"/>
        <v>1290.1499999999942</v>
      </c>
      <c r="AV96" s="104">
        <f t="shared" si="494"/>
        <v>3637.5400000000081</v>
      </c>
      <c r="AW96" s="104">
        <f t="shared" si="494"/>
        <v>9310.5299999999988</v>
      </c>
      <c r="AX96" s="104">
        <f t="shared" si="494"/>
        <v>5393.4699999999975</v>
      </c>
      <c r="AY96" s="104">
        <f t="shared" si="494"/>
        <v>1985.3499999999985</v>
      </c>
      <c r="AZ96" s="104">
        <f t="shared" si="494"/>
        <v>-2104.1800000000003</v>
      </c>
      <c r="BA96" s="104">
        <f t="shared" si="494"/>
        <v>1493.67</v>
      </c>
      <c r="BB96" s="104">
        <f t="shared" si="494"/>
        <v>6415.4699999999993</v>
      </c>
      <c r="BC96" s="104">
        <f t="shared" si="494"/>
        <v>-3741.66</v>
      </c>
      <c r="BD96" s="104">
        <f t="shared" si="494"/>
        <v>-49119.289999999994</v>
      </c>
      <c r="BE96" s="106">
        <f t="shared" si="494"/>
        <v>-52080.090000000011</v>
      </c>
      <c r="BF96" s="168">
        <f t="shared" ref="BF96:BP96" si="495">BF82</f>
        <v>229004.92</v>
      </c>
      <c r="BG96" s="104">
        <f t="shared" si="495"/>
        <v>203388.09</v>
      </c>
      <c r="BH96" s="104">
        <f t="shared" si="495"/>
        <v>167007.07999999999</v>
      </c>
      <c r="BI96" s="104">
        <f t="shared" si="495"/>
        <v>86618.45</v>
      </c>
      <c r="BJ96" s="104">
        <f t="shared" si="495"/>
        <v>35698.089999999997</v>
      </c>
      <c r="BK96" s="104">
        <f t="shared" si="495"/>
        <v>32604.33</v>
      </c>
      <c r="BL96" s="104">
        <f t="shared" si="495"/>
        <v>21836.57</v>
      </c>
      <c r="BM96" s="104">
        <f t="shared" si="495"/>
        <v>21268.6</v>
      </c>
      <c r="BN96" s="104">
        <f t="shared" si="495"/>
        <v>22052.1</v>
      </c>
      <c r="BO96" s="104">
        <f t="shared" si="495"/>
        <v>38888.79</v>
      </c>
      <c r="BP96" s="104">
        <f t="shared" si="495"/>
        <v>54553.599000000002</v>
      </c>
      <c r="BQ96" s="106">
        <f t="shared" ref="BQ96:BR96" si="496">BQ82</f>
        <v>205400.04</v>
      </c>
      <c r="BR96" s="168">
        <f t="shared" si="496"/>
        <v>-160789.80000000002</v>
      </c>
      <c r="BS96" s="104">
        <f t="shared" ref="BS96:CC96" si="497">BS82</f>
        <v>-119697.95</v>
      </c>
      <c r="BT96" s="104">
        <f t="shared" si="497"/>
        <v>-103705.12999999999</v>
      </c>
      <c r="BU96" s="104">
        <f t="shared" si="497"/>
        <v>-45826.469999999994</v>
      </c>
      <c r="BV96" s="104">
        <f t="shared" si="497"/>
        <v>-16777.959999999995</v>
      </c>
      <c r="BW96" s="104">
        <f t="shared" si="497"/>
        <v>-17383.260000000002</v>
      </c>
      <c r="BX96" s="104">
        <f t="shared" si="497"/>
        <v>-4265.93</v>
      </c>
      <c r="BY96" s="104">
        <f t="shared" si="497"/>
        <v>-7001.7199999999993</v>
      </c>
      <c r="BZ96" s="104">
        <f t="shared" si="497"/>
        <v>-6527.6999999999989</v>
      </c>
      <c r="CA96" s="104">
        <f t="shared" si="497"/>
        <v>-12126.64</v>
      </c>
      <c r="CB96" s="104">
        <f t="shared" si="497"/>
        <v>41953.770999999993</v>
      </c>
      <c r="CC96" s="106">
        <f t="shared" si="497"/>
        <v>-67639.06</v>
      </c>
      <c r="CD96" s="168">
        <f>CD82</f>
        <v>196676.1</v>
      </c>
      <c r="CE96" s="104">
        <f t="shared" ref="CE96:CG96" si="498">CE82</f>
        <v>127349.58</v>
      </c>
      <c r="CF96" s="104">
        <f t="shared" si="498"/>
        <v>144192.17000000001</v>
      </c>
      <c r="CG96" s="104">
        <f t="shared" si="498"/>
        <v>67432.350000000006</v>
      </c>
      <c r="CH96" s="104">
        <f t="shared" ref="CH96:CI96" si="499">CH82</f>
        <v>29907.599999999999</v>
      </c>
      <c r="CI96" s="104">
        <f t="shared" si="499"/>
        <v>23960.23</v>
      </c>
      <c r="CJ96" s="104">
        <f t="shared" ref="CJ96:CM98" si="500">CJ82</f>
        <v>15815.84</v>
      </c>
      <c r="CK96" s="104">
        <f t="shared" si="500"/>
        <v>17372.490000000002</v>
      </c>
      <c r="CL96" s="104">
        <f t="shared" si="500"/>
        <v>19766.59</v>
      </c>
      <c r="CM96" s="104">
        <f t="shared" si="500"/>
        <v>9785</v>
      </c>
      <c r="CN96" s="104">
        <f>16743+8836</f>
        <v>25579</v>
      </c>
      <c r="CO96" s="106">
        <v>42755</v>
      </c>
      <c r="CP96" s="169">
        <f t="shared" si="477"/>
        <v>-32328.820000000007</v>
      </c>
      <c r="CQ96" s="104">
        <f t="shared" ref="CQ96:DA96" si="501">CQ82</f>
        <v>-76038.509999999995</v>
      </c>
      <c r="CR96" s="104">
        <f t="shared" si="501"/>
        <v>-22814.909999999974</v>
      </c>
      <c r="CS96" s="104">
        <f t="shared" si="501"/>
        <v>-19186.099999999991</v>
      </c>
      <c r="CT96" s="104">
        <f t="shared" si="501"/>
        <v>-5790.489999999998</v>
      </c>
      <c r="CU96" s="104">
        <f t="shared" si="501"/>
        <v>-8644.1000000000022</v>
      </c>
      <c r="CV96" s="104">
        <f t="shared" si="501"/>
        <v>-6020.73</v>
      </c>
      <c r="CW96" s="104">
        <f t="shared" si="501"/>
        <v>-3896.1099999999969</v>
      </c>
      <c r="CX96" s="104">
        <f t="shared" si="501"/>
        <v>-2285.5099999999984</v>
      </c>
      <c r="CY96" s="104">
        <f t="shared" si="501"/>
        <v>-29103.79</v>
      </c>
      <c r="CZ96" s="104">
        <f t="shared" si="501"/>
        <v>-28974.599000000002</v>
      </c>
      <c r="DA96" s="106">
        <f t="shared" si="501"/>
        <v>-162645.04</v>
      </c>
      <c r="DB96" s="168">
        <f>DB82</f>
        <v>36424</v>
      </c>
      <c r="DC96" s="104">
        <f t="shared" ref="DC96:DK96" si="502">DC82</f>
        <v>40452</v>
      </c>
      <c r="DD96" s="104">
        <f t="shared" si="502"/>
        <v>24664</v>
      </c>
      <c r="DE96" s="104">
        <f t="shared" si="502"/>
        <v>27593</v>
      </c>
      <c r="DF96" s="104">
        <f t="shared" si="502"/>
        <v>18375</v>
      </c>
      <c r="DG96" s="104">
        <v>10603</v>
      </c>
      <c r="DH96" s="104">
        <f t="shared" si="502"/>
        <v>9430</v>
      </c>
      <c r="DI96" s="104">
        <f t="shared" si="502"/>
        <v>9758</v>
      </c>
      <c r="DJ96" s="104">
        <f t="shared" si="502"/>
        <v>8274</v>
      </c>
      <c r="DK96" s="104">
        <f t="shared" si="502"/>
        <v>9647</v>
      </c>
      <c r="DL96" s="104">
        <f t="shared" ref="DL96:DN96" si="503">DL82</f>
        <v>21721</v>
      </c>
      <c r="DM96" s="106">
        <f t="shared" si="503"/>
        <v>0</v>
      </c>
      <c r="DN96" s="169">
        <f t="shared" si="503"/>
        <v>-160252.1</v>
      </c>
      <c r="DO96" s="104">
        <f t="shared" ref="DO96:DY96" si="504">DO82</f>
        <v>-86897.58</v>
      </c>
      <c r="DP96" s="104">
        <f t="shared" si="504"/>
        <v>-119528.17000000001</v>
      </c>
      <c r="DQ96" s="104">
        <f t="shared" si="504"/>
        <v>-39839.350000000006</v>
      </c>
      <c r="DR96" s="104">
        <f t="shared" si="504"/>
        <v>-11532.599999999999</v>
      </c>
      <c r="DS96" s="104">
        <f t="shared" si="504"/>
        <v>-13357.23</v>
      </c>
      <c r="DT96" s="104">
        <f t="shared" si="504"/>
        <v>-6385.84</v>
      </c>
      <c r="DU96" s="104">
        <f t="shared" si="504"/>
        <v>-7614.4900000000016</v>
      </c>
      <c r="DV96" s="104">
        <f t="shared" si="504"/>
        <v>-11492.59</v>
      </c>
      <c r="DW96" s="104">
        <f t="shared" si="504"/>
        <v>-138</v>
      </c>
      <c r="DX96" s="104">
        <f t="shared" si="504"/>
        <v>-3858</v>
      </c>
      <c r="DY96" s="106">
        <f t="shared" si="504"/>
        <v>-42755</v>
      </c>
    </row>
    <row r="97" spans="1:129" x14ac:dyDescent="0.25">
      <c r="A97" s="19" t="s">
        <v>37</v>
      </c>
      <c r="B97" s="168">
        <v>0</v>
      </c>
      <c r="C97" s="104">
        <v>0</v>
      </c>
      <c r="D97" s="104">
        <v>0</v>
      </c>
      <c r="E97" s="104">
        <v>0</v>
      </c>
      <c r="F97" s="104">
        <v>0</v>
      </c>
      <c r="G97" s="104">
        <v>0</v>
      </c>
      <c r="H97" s="104">
        <v>0</v>
      </c>
      <c r="I97" s="104">
        <v>0</v>
      </c>
      <c r="J97" s="104">
        <v>0</v>
      </c>
      <c r="K97" s="106">
        <v>0</v>
      </c>
      <c r="L97" s="168">
        <v>0</v>
      </c>
      <c r="M97" s="104">
        <v>0</v>
      </c>
      <c r="N97" s="104">
        <v>0</v>
      </c>
      <c r="O97" s="104">
        <v>0</v>
      </c>
      <c r="P97" s="104">
        <v>0</v>
      </c>
      <c r="Q97" s="104">
        <v>0</v>
      </c>
      <c r="R97" s="104">
        <v>0</v>
      </c>
      <c r="S97" s="104">
        <v>0</v>
      </c>
      <c r="T97" s="104">
        <v>0</v>
      </c>
      <c r="U97" s="104">
        <v>0</v>
      </c>
      <c r="V97" s="104">
        <v>0</v>
      </c>
      <c r="W97" s="104">
        <v>0</v>
      </c>
      <c r="X97" s="168">
        <f t="shared" ref="X97:AG97" si="505">X83</f>
        <v>0</v>
      </c>
      <c r="Y97" s="104">
        <f t="shared" si="505"/>
        <v>0</v>
      </c>
      <c r="Z97" s="104">
        <f t="shared" si="505"/>
        <v>0</v>
      </c>
      <c r="AA97" s="104">
        <f t="shared" si="505"/>
        <v>0</v>
      </c>
      <c r="AB97" s="104">
        <f t="shared" si="505"/>
        <v>0</v>
      </c>
      <c r="AC97" s="104">
        <f t="shared" si="505"/>
        <v>0</v>
      </c>
      <c r="AD97" s="104">
        <f t="shared" si="505"/>
        <v>0</v>
      </c>
      <c r="AE97" s="104">
        <f t="shared" si="505"/>
        <v>0</v>
      </c>
      <c r="AF97" s="104">
        <f t="shared" si="505"/>
        <v>0</v>
      </c>
      <c r="AG97" s="106">
        <f t="shared" si="505"/>
        <v>0</v>
      </c>
      <c r="AH97" s="168">
        <v>0</v>
      </c>
      <c r="AI97" s="104">
        <v>0</v>
      </c>
      <c r="AJ97" s="104">
        <v>0</v>
      </c>
      <c r="AK97" s="104">
        <v>0</v>
      </c>
      <c r="AL97" s="104">
        <v>0</v>
      </c>
      <c r="AM97" s="104">
        <v>0</v>
      </c>
      <c r="AN97" s="104">
        <v>0</v>
      </c>
      <c r="AO97" s="104">
        <v>0</v>
      </c>
      <c r="AP97" s="104">
        <v>0</v>
      </c>
      <c r="AQ97" s="104">
        <v>0</v>
      </c>
      <c r="AR97" s="104">
        <v>0</v>
      </c>
      <c r="AS97" s="106">
        <v>0</v>
      </c>
      <c r="AT97" s="168">
        <f t="shared" ref="AT97:BE97" si="506">AT83</f>
        <v>0</v>
      </c>
      <c r="AU97" s="104">
        <f t="shared" si="506"/>
        <v>0</v>
      </c>
      <c r="AV97" s="104">
        <f t="shared" si="506"/>
        <v>0</v>
      </c>
      <c r="AW97" s="104">
        <f t="shared" si="506"/>
        <v>0</v>
      </c>
      <c r="AX97" s="104">
        <f t="shared" si="506"/>
        <v>0</v>
      </c>
      <c r="AY97" s="104">
        <f t="shared" si="506"/>
        <v>0</v>
      </c>
      <c r="AZ97" s="104">
        <f t="shared" si="506"/>
        <v>0</v>
      </c>
      <c r="BA97" s="104">
        <f t="shared" si="506"/>
        <v>0</v>
      </c>
      <c r="BB97" s="104">
        <f t="shared" si="506"/>
        <v>0</v>
      </c>
      <c r="BC97" s="104">
        <f t="shared" si="506"/>
        <v>0</v>
      </c>
      <c r="BD97" s="104">
        <f t="shared" si="506"/>
        <v>0</v>
      </c>
      <c r="BE97" s="106">
        <f t="shared" si="506"/>
        <v>0</v>
      </c>
      <c r="BF97" s="168">
        <v>0</v>
      </c>
      <c r="BG97" s="104">
        <v>0</v>
      </c>
      <c r="BH97" s="104">
        <v>0</v>
      </c>
      <c r="BI97" s="104">
        <v>0</v>
      </c>
      <c r="BJ97" s="104">
        <v>0</v>
      </c>
      <c r="BK97" s="104">
        <v>0</v>
      </c>
      <c r="BL97" s="104">
        <v>0</v>
      </c>
      <c r="BM97" s="104">
        <v>0</v>
      </c>
      <c r="BN97" s="104">
        <v>0</v>
      </c>
      <c r="BO97" s="104">
        <v>0</v>
      </c>
      <c r="BP97" s="104">
        <v>0</v>
      </c>
      <c r="BQ97" s="106">
        <v>0</v>
      </c>
      <c r="BR97" s="168">
        <f t="shared" ref="BR97" si="507">BR83</f>
        <v>0</v>
      </c>
      <c r="BS97" s="104">
        <f t="shared" ref="BS97:CC97" si="508">BS83</f>
        <v>0</v>
      </c>
      <c r="BT97" s="104">
        <f t="shared" si="508"/>
        <v>0</v>
      </c>
      <c r="BU97" s="104">
        <f t="shared" si="508"/>
        <v>0</v>
      </c>
      <c r="BV97" s="104">
        <f t="shared" si="508"/>
        <v>0</v>
      </c>
      <c r="BW97" s="104">
        <f t="shared" si="508"/>
        <v>0</v>
      </c>
      <c r="BX97" s="104">
        <f t="shared" si="508"/>
        <v>0</v>
      </c>
      <c r="BY97" s="104">
        <f t="shared" si="508"/>
        <v>0</v>
      </c>
      <c r="BZ97" s="104">
        <f t="shared" si="508"/>
        <v>0</v>
      </c>
      <c r="CA97" s="104">
        <f t="shared" si="508"/>
        <v>0</v>
      </c>
      <c r="CB97" s="104">
        <f t="shared" si="508"/>
        <v>0</v>
      </c>
      <c r="CC97" s="106">
        <f t="shared" si="508"/>
        <v>0</v>
      </c>
      <c r="CD97" s="168">
        <v>0</v>
      </c>
      <c r="CE97" s="104">
        <v>0</v>
      </c>
      <c r="CF97" s="104">
        <v>0</v>
      </c>
      <c r="CG97" s="104">
        <v>0</v>
      </c>
      <c r="CH97" s="104">
        <v>0</v>
      </c>
      <c r="CI97" s="104">
        <v>0</v>
      </c>
      <c r="CJ97" s="104">
        <v>0</v>
      </c>
      <c r="CK97" s="104">
        <v>0</v>
      </c>
      <c r="CL97" s="104">
        <v>0</v>
      </c>
      <c r="CM97" s="104">
        <f t="shared" si="500"/>
        <v>7574</v>
      </c>
      <c r="CN97" s="104">
        <f>18476+4902</f>
        <v>23378</v>
      </c>
      <c r="CO97" s="106">
        <v>26214</v>
      </c>
      <c r="CP97" s="169">
        <f t="shared" si="477"/>
        <v>0</v>
      </c>
      <c r="CQ97" s="104">
        <f t="shared" ref="CQ97:DA97" si="509">CQ83</f>
        <v>0</v>
      </c>
      <c r="CR97" s="104">
        <f t="shared" si="509"/>
        <v>0</v>
      </c>
      <c r="CS97" s="104">
        <f t="shared" si="509"/>
        <v>0</v>
      </c>
      <c r="CT97" s="104">
        <f t="shared" si="509"/>
        <v>0</v>
      </c>
      <c r="CU97" s="104">
        <f t="shared" si="509"/>
        <v>0</v>
      </c>
      <c r="CV97" s="104">
        <f t="shared" si="509"/>
        <v>0</v>
      </c>
      <c r="CW97" s="104">
        <f t="shared" si="509"/>
        <v>0</v>
      </c>
      <c r="CX97" s="104">
        <f t="shared" si="509"/>
        <v>0</v>
      </c>
      <c r="CY97" s="104">
        <f t="shared" si="509"/>
        <v>7574</v>
      </c>
      <c r="CZ97" s="104">
        <f t="shared" si="509"/>
        <v>23378</v>
      </c>
      <c r="DA97" s="106">
        <f t="shared" si="509"/>
        <v>26214</v>
      </c>
      <c r="DB97" s="168">
        <f t="shared" ref="DB97:DJ97" si="510">DB83</f>
        <v>49707</v>
      </c>
      <c r="DC97" s="104">
        <f t="shared" si="510"/>
        <v>61952</v>
      </c>
      <c r="DD97" s="104">
        <f t="shared" si="510"/>
        <v>17910</v>
      </c>
      <c r="DE97" s="104">
        <f t="shared" si="510"/>
        <v>63713</v>
      </c>
      <c r="DF97" s="104">
        <f>DF83</f>
        <v>7494</v>
      </c>
      <c r="DG97" s="104">
        <v>12992</v>
      </c>
      <c r="DH97" s="104">
        <f t="shared" si="510"/>
        <v>30295</v>
      </c>
      <c r="DI97" s="104">
        <f t="shared" si="510"/>
        <v>7687</v>
      </c>
      <c r="DJ97" s="104">
        <f t="shared" si="510"/>
        <v>6602</v>
      </c>
      <c r="DK97" s="104">
        <f t="shared" ref="DK97" si="511">DK83</f>
        <v>9002</v>
      </c>
      <c r="DL97" s="104">
        <f t="shared" ref="DL97:DN97" si="512">DL83</f>
        <v>10558</v>
      </c>
      <c r="DM97" s="106">
        <f t="shared" si="512"/>
        <v>0</v>
      </c>
      <c r="DN97" s="169">
        <f t="shared" si="512"/>
        <v>49707</v>
      </c>
      <c r="DO97" s="104">
        <f t="shared" ref="DO97:DY97" si="513">DO83</f>
        <v>61952</v>
      </c>
      <c r="DP97" s="104">
        <f t="shared" si="513"/>
        <v>17910</v>
      </c>
      <c r="DQ97" s="104">
        <f t="shared" si="513"/>
        <v>63713</v>
      </c>
      <c r="DR97" s="104">
        <f t="shared" si="513"/>
        <v>7494</v>
      </c>
      <c r="DS97" s="104">
        <f t="shared" si="513"/>
        <v>12992</v>
      </c>
      <c r="DT97" s="104">
        <f t="shared" si="513"/>
        <v>30295</v>
      </c>
      <c r="DU97" s="104">
        <f t="shared" si="513"/>
        <v>7687</v>
      </c>
      <c r="DV97" s="104">
        <f t="shared" si="513"/>
        <v>6602</v>
      </c>
      <c r="DW97" s="104">
        <f t="shared" si="513"/>
        <v>1428</v>
      </c>
      <c r="DX97" s="104">
        <f t="shared" si="513"/>
        <v>-12820</v>
      </c>
      <c r="DY97" s="106">
        <f t="shared" si="513"/>
        <v>-26214</v>
      </c>
    </row>
    <row r="98" spans="1:129" x14ac:dyDescent="0.25">
      <c r="A98" s="19" t="s">
        <v>46</v>
      </c>
      <c r="B98" s="168">
        <v>0</v>
      </c>
      <c r="C98" s="104">
        <v>0</v>
      </c>
      <c r="D98" s="104">
        <v>0</v>
      </c>
      <c r="E98" s="104">
        <v>0</v>
      </c>
      <c r="F98" s="104">
        <v>0</v>
      </c>
      <c r="G98" s="104">
        <v>0</v>
      </c>
      <c r="H98" s="104">
        <v>0</v>
      </c>
      <c r="I98" s="104">
        <v>0</v>
      </c>
      <c r="J98" s="104">
        <v>0</v>
      </c>
      <c r="K98" s="106">
        <v>0</v>
      </c>
      <c r="L98" s="168">
        <v>0</v>
      </c>
      <c r="M98" s="104">
        <v>0</v>
      </c>
      <c r="N98" s="104">
        <v>0</v>
      </c>
      <c r="O98" s="104">
        <v>0</v>
      </c>
      <c r="P98" s="104">
        <v>0</v>
      </c>
      <c r="Q98" s="104">
        <v>0</v>
      </c>
      <c r="R98" s="104">
        <v>0</v>
      </c>
      <c r="S98" s="104">
        <v>0</v>
      </c>
      <c r="T98" s="104">
        <v>0</v>
      </c>
      <c r="U98" s="104">
        <v>0</v>
      </c>
      <c r="V98" s="104">
        <v>0</v>
      </c>
      <c r="W98" s="104">
        <v>0</v>
      </c>
      <c r="X98" s="168">
        <f t="shared" ref="X98:AG98" si="514">X84</f>
        <v>-9252.6699999999983</v>
      </c>
      <c r="Y98" s="104">
        <f t="shared" si="514"/>
        <v>2644.1299999999992</v>
      </c>
      <c r="Z98" s="104">
        <f t="shared" si="514"/>
        <v>1798.4000000000003</v>
      </c>
      <c r="AA98" s="104">
        <f t="shared" si="514"/>
        <v>-1166.8899999999999</v>
      </c>
      <c r="AB98" s="104">
        <f t="shared" si="514"/>
        <v>-177.39</v>
      </c>
      <c r="AC98" s="104">
        <f t="shared" si="514"/>
        <v>-294.79000000000002</v>
      </c>
      <c r="AD98" s="104">
        <f t="shared" si="514"/>
        <v>160.01999999999998</v>
      </c>
      <c r="AE98" s="104">
        <f t="shared" si="514"/>
        <v>4502.4900000000016</v>
      </c>
      <c r="AF98" s="104">
        <f t="shared" si="514"/>
        <v>-2224.7700000000041</v>
      </c>
      <c r="AG98" s="106">
        <f t="shared" si="514"/>
        <v>-11423.120000000003</v>
      </c>
      <c r="AH98" s="168">
        <v>0</v>
      </c>
      <c r="AI98" s="104">
        <v>0</v>
      </c>
      <c r="AJ98" s="104">
        <v>0</v>
      </c>
      <c r="AK98" s="104">
        <v>0</v>
      </c>
      <c r="AL98" s="104">
        <v>0</v>
      </c>
      <c r="AM98" s="104">
        <v>0</v>
      </c>
      <c r="AN98" s="104">
        <v>0</v>
      </c>
      <c r="AO98" s="104">
        <v>0</v>
      </c>
      <c r="AP98" s="104">
        <v>0</v>
      </c>
      <c r="AQ98" s="104">
        <v>0</v>
      </c>
      <c r="AR98" s="104">
        <v>0</v>
      </c>
      <c r="AS98" s="106">
        <v>0</v>
      </c>
      <c r="AT98" s="168">
        <f t="shared" ref="AT98:BE98" si="515">AT84</f>
        <v>12238.700000000004</v>
      </c>
      <c r="AU98" s="104">
        <f t="shared" si="515"/>
        <v>11935.630000000001</v>
      </c>
      <c r="AV98" s="104">
        <f t="shared" si="515"/>
        <v>-2790.7099999999991</v>
      </c>
      <c r="AW98" s="104">
        <f t="shared" si="515"/>
        <v>-4105.6900000000005</v>
      </c>
      <c r="AX98" s="104">
        <f t="shared" si="515"/>
        <v>-12608.17</v>
      </c>
      <c r="AY98" s="104">
        <f t="shared" si="515"/>
        <v>-1910.38</v>
      </c>
      <c r="AZ98" s="104">
        <f t="shared" si="515"/>
        <v>-119.87</v>
      </c>
      <c r="BA98" s="104">
        <f t="shared" si="515"/>
        <v>-66.659999999999968</v>
      </c>
      <c r="BB98" s="104">
        <f t="shared" si="515"/>
        <v>656.8599999999999</v>
      </c>
      <c r="BC98" s="104">
        <f t="shared" si="515"/>
        <v>10253.629999999999</v>
      </c>
      <c r="BD98" s="104">
        <f t="shared" si="515"/>
        <v>33068.550000000003</v>
      </c>
      <c r="BE98" s="106">
        <f t="shared" si="515"/>
        <v>54115.040000000001</v>
      </c>
      <c r="BF98" s="168">
        <v>0</v>
      </c>
      <c r="BG98" s="104">
        <v>0</v>
      </c>
      <c r="BH98" s="104">
        <v>0</v>
      </c>
      <c r="BI98" s="104">
        <v>0</v>
      </c>
      <c r="BJ98" s="104">
        <v>0</v>
      </c>
      <c r="BK98" s="104">
        <v>0</v>
      </c>
      <c r="BL98" s="104">
        <v>0</v>
      </c>
      <c r="BM98" s="104">
        <v>0</v>
      </c>
      <c r="BN98" s="104">
        <v>0</v>
      </c>
      <c r="BO98" s="104">
        <v>0</v>
      </c>
      <c r="BP98" s="104">
        <v>0</v>
      </c>
      <c r="BQ98" s="106">
        <v>0</v>
      </c>
      <c r="BR98" s="168">
        <f t="shared" ref="BR98" si="516">BR84</f>
        <v>41575.24</v>
      </c>
      <c r="BS98" s="104">
        <f t="shared" ref="BS98:CC98" si="517">BS84</f>
        <v>31966.91</v>
      </c>
      <c r="BT98" s="104">
        <f t="shared" si="517"/>
        <v>30607.439999999999</v>
      </c>
      <c r="BU98" s="104">
        <f t="shared" si="517"/>
        <v>11936.19</v>
      </c>
      <c r="BV98" s="104">
        <f t="shared" si="517"/>
        <v>14237.28</v>
      </c>
      <c r="BW98" s="104">
        <f t="shared" si="517"/>
        <v>3238.48</v>
      </c>
      <c r="BX98" s="104">
        <f t="shared" si="517"/>
        <v>297.26</v>
      </c>
      <c r="BY98" s="104">
        <f t="shared" si="517"/>
        <v>361.45</v>
      </c>
      <c r="BZ98" s="104">
        <f t="shared" si="517"/>
        <v>1281.24</v>
      </c>
      <c r="CA98" s="104">
        <f t="shared" si="517"/>
        <v>0</v>
      </c>
      <c r="CB98" s="104">
        <f t="shared" si="517"/>
        <v>0</v>
      </c>
      <c r="CC98" s="106">
        <f t="shared" si="517"/>
        <v>0</v>
      </c>
      <c r="CD98" s="168">
        <v>0</v>
      </c>
      <c r="CE98" s="104">
        <v>0</v>
      </c>
      <c r="CF98" s="104">
        <v>0</v>
      </c>
      <c r="CG98" s="104">
        <v>0</v>
      </c>
      <c r="CH98" s="104">
        <v>0</v>
      </c>
      <c r="CI98" s="104">
        <v>0</v>
      </c>
      <c r="CJ98" s="104">
        <v>0</v>
      </c>
      <c r="CK98" s="104">
        <v>0</v>
      </c>
      <c r="CL98" s="104">
        <v>0</v>
      </c>
      <c r="CM98" s="104">
        <f t="shared" si="500"/>
        <v>0</v>
      </c>
      <c r="CN98" s="104">
        <v>0</v>
      </c>
      <c r="CO98" s="106">
        <v>0</v>
      </c>
      <c r="CP98" s="169">
        <f t="shared" si="477"/>
        <v>0</v>
      </c>
      <c r="CQ98" s="104">
        <f t="shared" ref="CQ98:DA98" si="518">CQ84</f>
        <v>0</v>
      </c>
      <c r="CR98" s="104">
        <f t="shared" si="518"/>
        <v>0</v>
      </c>
      <c r="CS98" s="104">
        <f t="shared" si="518"/>
        <v>0</v>
      </c>
      <c r="CT98" s="104">
        <f t="shared" si="518"/>
        <v>0</v>
      </c>
      <c r="CU98" s="104">
        <f t="shared" si="518"/>
        <v>0</v>
      </c>
      <c r="CV98" s="104">
        <f t="shared" si="518"/>
        <v>0</v>
      </c>
      <c r="CW98" s="104">
        <f t="shared" si="518"/>
        <v>0</v>
      </c>
      <c r="CX98" s="104">
        <f t="shared" si="518"/>
        <v>0</v>
      </c>
      <c r="CY98" s="104">
        <f t="shared" si="518"/>
        <v>0</v>
      </c>
      <c r="CZ98" s="104">
        <f t="shared" si="518"/>
        <v>0</v>
      </c>
      <c r="DA98" s="106">
        <f t="shared" si="518"/>
        <v>0</v>
      </c>
      <c r="DB98" s="168">
        <f t="shared" ref="DB98:DJ98" si="519">DB84</f>
        <v>0</v>
      </c>
      <c r="DC98" s="104">
        <f t="shared" si="519"/>
        <v>0</v>
      </c>
      <c r="DD98" s="104">
        <f t="shared" si="519"/>
        <v>0</v>
      </c>
      <c r="DE98" s="104">
        <f t="shared" si="519"/>
        <v>0</v>
      </c>
      <c r="DF98" s="104">
        <f>DF84</f>
        <v>0</v>
      </c>
      <c r="DG98" s="104">
        <v>0</v>
      </c>
      <c r="DH98" s="104">
        <f t="shared" si="519"/>
        <v>0</v>
      </c>
      <c r="DI98" s="104">
        <f t="shared" si="519"/>
        <v>0</v>
      </c>
      <c r="DJ98" s="104">
        <f t="shared" si="519"/>
        <v>0</v>
      </c>
      <c r="DK98" s="104">
        <f t="shared" ref="DK98" si="520">DK84</f>
        <v>0</v>
      </c>
      <c r="DL98" s="104">
        <v>0</v>
      </c>
      <c r="DM98" s="106">
        <v>0</v>
      </c>
      <c r="DN98" s="169">
        <f t="shared" ref="DN98" si="521">DN84</f>
        <v>0</v>
      </c>
      <c r="DO98" s="104">
        <f t="shared" ref="DO98:DY98" si="522">DO84</f>
        <v>0</v>
      </c>
      <c r="DP98" s="104">
        <f t="shared" si="522"/>
        <v>0</v>
      </c>
      <c r="DQ98" s="104">
        <f t="shared" si="522"/>
        <v>0</v>
      </c>
      <c r="DR98" s="104">
        <f t="shared" si="522"/>
        <v>0</v>
      </c>
      <c r="DS98" s="104">
        <f t="shared" si="522"/>
        <v>0</v>
      </c>
      <c r="DT98" s="104">
        <f t="shared" si="522"/>
        <v>0</v>
      </c>
      <c r="DU98" s="104">
        <f t="shared" si="522"/>
        <v>0</v>
      </c>
      <c r="DV98" s="104">
        <f t="shared" si="522"/>
        <v>0</v>
      </c>
      <c r="DW98" s="104">
        <f t="shared" si="522"/>
        <v>0</v>
      </c>
      <c r="DX98" s="104">
        <f t="shared" si="522"/>
        <v>0</v>
      </c>
      <c r="DY98" s="106">
        <f t="shared" si="522"/>
        <v>0</v>
      </c>
    </row>
    <row r="99" spans="1:129" ht="15.75" thickBot="1" x14ac:dyDescent="0.3">
      <c r="A99" s="177" t="s">
        <v>39</v>
      </c>
      <c r="B99" s="171">
        <f t="shared" ref="B99:K99" si="523">SUM(B94:B97)</f>
        <v>426494.58999999997</v>
      </c>
      <c r="C99" s="104">
        <f t="shared" si="523"/>
        <v>256003.44</v>
      </c>
      <c r="D99" s="104">
        <f t="shared" si="523"/>
        <v>133089.07</v>
      </c>
      <c r="E99" s="104">
        <f t="shared" si="523"/>
        <v>80580.56</v>
      </c>
      <c r="F99" s="104">
        <f t="shared" si="523"/>
        <v>73816.51999999999</v>
      </c>
      <c r="G99" s="104">
        <f t="shared" si="523"/>
        <v>76470.400000000009</v>
      </c>
      <c r="H99" s="104">
        <f t="shared" si="523"/>
        <v>75856.350000000006</v>
      </c>
      <c r="I99" s="104">
        <f t="shared" si="523"/>
        <v>130824.4</v>
      </c>
      <c r="J99" s="104">
        <f t="shared" si="523"/>
        <v>248348.34</v>
      </c>
      <c r="K99" s="106">
        <f t="shared" si="523"/>
        <v>376498.07999999996</v>
      </c>
      <c r="L99" s="168">
        <f t="shared" ref="L99:V99" si="524">SUM(L94:L97)</f>
        <v>441631.54999999993</v>
      </c>
      <c r="M99" s="104">
        <f t="shared" si="524"/>
        <v>370664.30999999994</v>
      </c>
      <c r="N99" s="104">
        <f t="shared" si="524"/>
        <v>305808.08</v>
      </c>
      <c r="O99" s="104">
        <f t="shared" si="524"/>
        <v>255060.05000000002</v>
      </c>
      <c r="P99" s="104">
        <f t="shared" si="524"/>
        <v>120737.34</v>
      </c>
      <c r="Q99" s="104">
        <f t="shared" si="524"/>
        <v>80959.53</v>
      </c>
      <c r="R99" s="104">
        <f t="shared" si="524"/>
        <v>67732.399999999994</v>
      </c>
      <c r="S99" s="104">
        <f t="shared" si="524"/>
        <v>67712.45</v>
      </c>
      <c r="T99" s="104">
        <f t="shared" si="524"/>
        <v>91594.749999999985</v>
      </c>
      <c r="U99" s="104">
        <f t="shared" si="524"/>
        <v>107072.48</v>
      </c>
      <c r="V99" s="104">
        <f t="shared" si="524"/>
        <v>224628.77999999997</v>
      </c>
      <c r="W99" s="104">
        <f t="shared" ref="W99" si="525">SUM(W94:W97)</f>
        <v>393992.72</v>
      </c>
      <c r="X99" s="168">
        <f t="shared" ref="X99" si="526">SUM(X94:X98)</f>
        <v>111433.83999999998</v>
      </c>
      <c r="Y99" s="104">
        <f t="shared" ref="Y99" si="527">SUM(Y94:Y98)</f>
        <v>3587.5199999999841</v>
      </c>
      <c r="Z99" s="104">
        <f t="shared" ref="Z99" si="528">SUM(Z94:Z98)</f>
        <v>14150.13</v>
      </c>
      <c r="AA99" s="104">
        <f t="shared" ref="AA99" si="529">SUM(AA94:AA98)</f>
        <v>-1545.8599999999992</v>
      </c>
      <c r="AB99" s="104">
        <f t="shared" ref="AB99" si="530">SUM(AB94:AB98)</f>
        <v>5906.7300000000032</v>
      </c>
      <c r="AC99" s="104">
        <f t="shared" ref="AC99" si="531">SUM(AC94:AC98)</f>
        <v>8463.1600000000035</v>
      </c>
      <c r="AD99" s="104">
        <f t="shared" ref="AD99" si="532">SUM(AD94:AD98)</f>
        <v>-15578.379999999992</v>
      </c>
      <c r="AE99" s="104">
        <f t="shared" ref="AE99" si="533">SUM(AE94:AE98)</f>
        <v>28254.41</v>
      </c>
      <c r="AF99" s="104">
        <f t="shared" ref="AF99" si="534">SUM(AF94:AF98)</f>
        <v>21494.790000000012</v>
      </c>
      <c r="AG99" s="106">
        <f t="shared" ref="AG99" si="535">SUM(AG94:AG98)</f>
        <v>-28917.759999999995</v>
      </c>
      <c r="AH99" s="168">
        <f t="shared" ref="AH99:AR99" si="536">SUM(AH94:AH97)</f>
        <v>334487.84999999998</v>
      </c>
      <c r="AI99" s="104">
        <f t="shared" si="536"/>
        <v>376128.17</v>
      </c>
      <c r="AJ99" s="104">
        <f t="shared" si="536"/>
        <v>316859.15999999997</v>
      </c>
      <c r="AK99" s="104">
        <f t="shared" si="536"/>
        <v>196332.89</v>
      </c>
      <c r="AL99" s="104">
        <f t="shared" si="536"/>
        <v>93782.43</v>
      </c>
      <c r="AM99" s="104">
        <f t="shared" si="536"/>
        <v>75980.929999999993</v>
      </c>
      <c r="AN99" s="104">
        <f t="shared" si="536"/>
        <v>76220.239999999991</v>
      </c>
      <c r="AO99" s="104">
        <f t="shared" si="536"/>
        <v>63970.479999999996</v>
      </c>
      <c r="AP99" s="104">
        <f t="shared" si="536"/>
        <v>68527.62</v>
      </c>
      <c r="AQ99" s="104">
        <f t="shared" si="536"/>
        <v>97576.53</v>
      </c>
      <c r="AR99" s="104">
        <f t="shared" si="536"/>
        <v>344268.35</v>
      </c>
      <c r="AS99" s="106">
        <f t="shared" ref="AS99" si="537">SUM(AS94:AS97)</f>
        <v>474240.43999999994</v>
      </c>
      <c r="AT99" s="168">
        <f>SUM(AT94:AT98)</f>
        <v>119382.39999999997</v>
      </c>
      <c r="AU99" s="104">
        <f t="shared" ref="AU99" si="538">SUM(AU94:AU98)</f>
        <v>6471.7699999999913</v>
      </c>
      <c r="AV99" s="104">
        <f t="shared" ref="AV99" si="539">SUM(AV94:AV98)</f>
        <v>-13841.789999999999</v>
      </c>
      <c r="AW99" s="104">
        <f t="shared" ref="AW99" si="540">SUM(AW94:AW98)</f>
        <v>54621.470000000008</v>
      </c>
      <c r="AX99" s="104">
        <f t="shared" ref="AX99" si="541">SUM(AX94:AX98)</f>
        <v>14346.740000000011</v>
      </c>
      <c r="AY99" s="104">
        <f t="shared" ref="AY99" si="542">SUM(AY94:AY98)</f>
        <v>3068.220000000003</v>
      </c>
      <c r="AZ99" s="104">
        <f t="shared" ref="AZ99" si="543">SUM(AZ94:AZ98)</f>
        <v>-8607.7100000000028</v>
      </c>
      <c r="BA99" s="104">
        <f t="shared" ref="BA99" si="544">SUM(BA94:BA98)</f>
        <v>3675.309999999999</v>
      </c>
      <c r="BB99" s="104">
        <f t="shared" ref="BB99" si="545">SUM(BB94:BB98)</f>
        <v>23723.989999999998</v>
      </c>
      <c r="BC99" s="104">
        <f t="shared" ref="BC99" si="546">SUM(BC94:BC98)</f>
        <v>19749.579999999987</v>
      </c>
      <c r="BD99" s="104">
        <f t="shared" ref="BD99" si="547">SUM(BD94:BD98)</f>
        <v>-86571.01999999999</v>
      </c>
      <c r="BE99" s="106">
        <f t="shared" ref="BE99" si="548">SUM(BE94:BE98)</f>
        <v>-26132.680000000015</v>
      </c>
      <c r="BF99" s="168">
        <f t="shared" ref="BF99:BP99" si="549">SUM(BF94:BF97)</f>
        <v>786198.78</v>
      </c>
      <c r="BG99" s="104">
        <f t="shared" si="549"/>
        <v>698356.8</v>
      </c>
      <c r="BH99" s="104">
        <f t="shared" si="549"/>
        <v>569100.54</v>
      </c>
      <c r="BI99" s="104">
        <f t="shared" si="549"/>
        <v>303398.11</v>
      </c>
      <c r="BJ99" s="104">
        <f t="shared" si="549"/>
        <v>136209.07</v>
      </c>
      <c r="BK99" s="104">
        <f t="shared" si="549"/>
        <v>122221.86</v>
      </c>
      <c r="BL99" s="104">
        <f t="shared" si="549"/>
        <v>91615.670000000013</v>
      </c>
      <c r="BM99" s="104">
        <f t="shared" si="549"/>
        <v>87075.28</v>
      </c>
      <c r="BN99" s="104">
        <f t="shared" si="549"/>
        <v>86730.01999999999</v>
      </c>
      <c r="BO99" s="104">
        <f t="shared" si="549"/>
        <v>142824.01</v>
      </c>
      <c r="BP99" s="104">
        <f t="shared" si="549"/>
        <v>177839.924</v>
      </c>
      <c r="BQ99" s="106">
        <f t="shared" ref="BQ99" si="550">SUM(BQ94:BQ97)</f>
        <v>719339.80999999994</v>
      </c>
      <c r="BR99" s="168">
        <f>SUM(BR94:BR98)</f>
        <v>-410135.69000000006</v>
      </c>
      <c r="BS99" s="104">
        <f t="shared" ref="BS99:CC99" si="551">SUM(BS94:BS98)</f>
        <v>-290261.72000000003</v>
      </c>
      <c r="BT99" s="104">
        <f t="shared" si="551"/>
        <v>-221633.94</v>
      </c>
      <c r="BU99" s="104">
        <f t="shared" si="551"/>
        <v>-95129.030000000013</v>
      </c>
      <c r="BV99" s="104">
        <f t="shared" si="551"/>
        <v>-28189.360000000001</v>
      </c>
      <c r="BW99" s="104">
        <f t="shared" si="551"/>
        <v>-43002.450000000004</v>
      </c>
      <c r="BX99" s="104">
        <f t="shared" si="551"/>
        <v>-15098.170000000006</v>
      </c>
      <c r="BY99" s="104">
        <f t="shared" si="551"/>
        <v>-22743.349999999995</v>
      </c>
      <c r="BZ99" s="104">
        <f t="shared" si="551"/>
        <v>-16921.16</v>
      </c>
      <c r="CA99" s="104">
        <f t="shared" si="551"/>
        <v>-45247.479999999989</v>
      </c>
      <c r="CB99" s="104">
        <f t="shared" si="551"/>
        <v>166428.42599999998</v>
      </c>
      <c r="CC99" s="106">
        <f t="shared" si="551"/>
        <v>-245099.37</v>
      </c>
      <c r="CD99" s="168">
        <f>SUM(CD94:CD96)</f>
        <v>678376.95999999996</v>
      </c>
      <c r="CE99" s="104">
        <f>SUM(CE94:CE97)</f>
        <v>417465.96</v>
      </c>
      <c r="CF99" s="104">
        <f>SUM(CF94:CF98)</f>
        <v>472216.30000000005</v>
      </c>
      <c r="CG99" s="104">
        <f t="shared" ref="CG99:CO99" si="552">SUM(CG94:CG98)</f>
        <v>220628.83</v>
      </c>
      <c r="CH99" s="104">
        <f t="shared" si="552"/>
        <v>117848.38999999998</v>
      </c>
      <c r="CI99" s="104">
        <f t="shared" si="552"/>
        <v>101767.37</v>
      </c>
      <c r="CJ99" s="104">
        <f t="shared" si="552"/>
        <v>70407.75</v>
      </c>
      <c r="CK99" s="104">
        <f t="shared" si="552"/>
        <v>73728.88</v>
      </c>
      <c r="CL99" s="104">
        <f t="shared" si="552"/>
        <v>81804.03</v>
      </c>
      <c r="CM99" s="104">
        <f t="shared" si="552"/>
        <v>85096</v>
      </c>
      <c r="CN99" s="104">
        <f t="shared" si="552"/>
        <v>320688</v>
      </c>
      <c r="CO99" s="106">
        <f t="shared" si="552"/>
        <v>341882</v>
      </c>
      <c r="CP99" s="168">
        <f>SUM(CP94:CP98)</f>
        <v>-107821.82000000007</v>
      </c>
      <c r="CQ99" s="160">
        <f t="shared" ref="CQ99:DA99" si="553">SUM(CQ94:CQ98)</f>
        <v>-280890.84000000003</v>
      </c>
      <c r="CR99" s="160">
        <f t="shared" si="553"/>
        <v>-96884.24</v>
      </c>
      <c r="CS99" s="160">
        <f t="shared" si="553"/>
        <v>-82769.279999999999</v>
      </c>
      <c r="CT99" s="160">
        <f t="shared" si="553"/>
        <v>-18360.680000000008</v>
      </c>
      <c r="CU99" s="160">
        <f t="shared" si="553"/>
        <v>-20454.490000000002</v>
      </c>
      <c r="CV99" s="160">
        <f t="shared" si="553"/>
        <v>-21207.920000000002</v>
      </c>
      <c r="CW99" s="160">
        <f t="shared" si="553"/>
        <v>-13346.399999999994</v>
      </c>
      <c r="CX99" s="160">
        <f t="shared" si="553"/>
        <v>-4925.9900000000016</v>
      </c>
      <c r="CY99" s="160">
        <f t="shared" si="553"/>
        <v>-57728.009999999995</v>
      </c>
      <c r="CZ99" s="160">
        <f t="shared" si="553"/>
        <v>142848.076</v>
      </c>
      <c r="DA99" s="206">
        <f t="shared" si="553"/>
        <v>-377457.80999999994</v>
      </c>
      <c r="DB99" s="168">
        <f>SUM(DB94:DB96)</f>
        <v>254889</v>
      </c>
      <c r="DC99" s="104">
        <f>SUM(DC94:DC97)</f>
        <v>319592</v>
      </c>
      <c r="DD99" s="104">
        <f>SUM(DD94:DD98)</f>
        <v>199574</v>
      </c>
      <c r="DE99" s="104">
        <f t="shared" ref="DE99:DM99" si="554">SUM(DE94:DE98)</f>
        <v>120347</v>
      </c>
      <c r="DF99" s="104">
        <f t="shared" si="554"/>
        <v>130497</v>
      </c>
      <c r="DG99" s="104">
        <v>91005</v>
      </c>
      <c r="DH99" s="104">
        <f t="shared" si="554"/>
        <v>151665</v>
      </c>
      <c r="DI99" s="104">
        <f t="shared" si="554"/>
        <v>73039</v>
      </c>
      <c r="DJ99" s="104">
        <f t="shared" si="554"/>
        <v>67586</v>
      </c>
      <c r="DK99" s="104">
        <f t="shared" si="554"/>
        <v>91694</v>
      </c>
      <c r="DL99" s="104">
        <f t="shared" si="554"/>
        <v>188795</v>
      </c>
      <c r="DM99" s="106">
        <f t="shared" si="554"/>
        <v>0</v>
      </c>
      <c r="DN99" s="168">
        <f>SUM(DN94:DN98)</f>
        <v>-373780.95999999996</v>
      </c>
      <c r="DO99" s="160">
        <f t="shared" ref="DO99:DY99" si="555">SUM(DO94:DO98)</f>
        <v>-97873.959999999963</v>
      </c>
      <c r="DP99" s="160">
        <f t="shared" si="555"/>
        <v>-272642.3</v>
      </c>
      <c r="DQ99" s="160">
        <f t="shared" si="555"/>
        <v>-100281.83000000002</v>
      </c>
      <c r="DR99" s="160">
        <f t="shared" si="555"/>
        <v>12648.610000000008</v>
      </c>
      <c r="DS99" s="160">
        <f t="shared" si="555"/>
        <v>-10762.369999999999</v>
      </c>
      <c r="DT99" s="160">
        <f t="shared" si="555"/>
        <v>81257.25</v>
      </c>
      <c r="DU99" s="160">
        <f t="shared" si="555"/>
        <v>-689.88000000000466</v>
      </c>
      <c r="DV99" s="160">
        <f t="shared" si="555"/>
        <v>-14218.029999999999</v>
      </c>
      <c r="DW99" s="160">
        <f t="shared" si="555"/>
        <v>6598</v>
      </c>
      <c r="DX99" s="160">
        <f t="shared" si="555"/>
        <v>-131893</v>
      </c>
      <c r="DY99" s="206">
        <f t="shared" si="555"/>
        <v>-341882</v>
      </c>
    </row>
    <row r="100" spans="1:129" x14ac:dyDescent="0.25">
      <c r="A100" s="178" t="s">
        <v>33</v>
      </c>
      <c r="B100" s="164"/>
      <c r="C100" s="94"/>
      <c r="D100" s="94"/>
      <c r="E100" s="94"/>
      <c r="F100" s="94"/>
      <c r="G100" s="156"/>
      <c r="H100" s="156"/>
      <c r="I100" s="156"/>
      <c r="J100" s="156"/>
      <c r="K100" s="156"/>
      <c r="L100" s="164"/>
      <c r="M100" s="94"/>
      <c r="N100" s="94"/>
      <c r="O100" s="94"/>
      <c r="P100" s="94"/>
      <c r="Q100" s="156"/>
      <c r="R100" s="156"/>
      <c r="S100" s="156"/>
      <c r="T100" s="156"/>
      <c r="U100" s="156"/>
      <c r="V100" s="156"/>
      <c r="W100" s="156"/>
      <c r="X100" s="164"/>
      <c r="Y100" s="94"/>
      <c r="Z100" s="94"/>
      <c r="AA100" s="156"/>
      <c r="AB100" s="156"/>
      <c r="AC100" s="156"/>
      <c r="AD100" s="156"/>
      <c r="AE100" s="156"/>
      <c r="AF100" s="156"/>
      <c r="AG100" s="203"/>
      <c r="AH100" s="164"/>
      <c r="AI100" s="94"/>
      <c r="AJ100" s="94"/>
      <c r="AK100" s="94"/>
      <c r="AL100" s="94"/>
      <c r="AM100" s="156"/>
      <c r="AN100" s="156"/>
      <c r="AO100" s="156"/>
      <c r="AP100" s="156"/>
      <c r="AQ100" s="156"/>
      <c r="AR100" s="156"/>
      <c r="AS100" s="203"/>
      <c r="AT100" s="164"/>
      <c r="AU100" s="94"/>
      <c r="AV100" s="94"/>
      <c r="AW100" s="94"/>
      <c r="AX100" s="94"/>
      <c r="AY100" s="156"/>
      <c r="AZ100" s="156"/>
      <c r="BA100" s="156"/>
      <c r="BB100" s="156"/>
      <c r="BC100" s="156"/>
      <c r="BD100" s="156"/>
      <c r="BE100" s="203"/>
      <c r="BF100" s="164"/>
      <c r="BG100" s="94"/>
      <c r="BH100" s="94"/>
      <c r="BI100" s="94"/>
      <c r="BJ100" s="94"/>
      <c r="BK100" s="156"/>
      <c r="BL100" s="156"/>
      <c r="BM100" s="156"/>
      <c r="BN100" s="156"/>
      <c r="BO100" s="156"/>
      <c r="BP100" s="156"/>
      <c r="BQ100" s="203"/>
      <c r="BR100" s="164"/>
      <c r="BS100" s="94"/>
      <c r="BT100" s="94"/>
      <c r="BU100" s="94"/>
      <c r="BV100" s="94"/>
      <c r="BW100" s="156"/>
      <c r="BX100" s="156"/>
      <c r="BY100" s="156"/>
      <c r="BZ100" s="156"/>
      <c r="CA100" s="156"/>
      <c r="CB100" s="156"/>
      <c r="CC100" s="203"/>
      <c r="CD100" s="164"/>
      <c r="CE100" s="94"/>
      <c r="CF100" s="94"/>
      <c r="CG100" s="94"/>
      <c r="CH100" s="94"/>
      <c r="CI100" s="156"/>
      <c r="CJ100" s="156"/>
      <c r="CK100" s="156"/>
      <c r="CL100" s="156"/>
      <c r="CM100" s="156"/>
      <c r="CN100" s="156"/>
      <c r="CO100" s="203"/>
      <c r="CP100" s="164"/>
      <c r="CQ100" s="94"/>
      <c r="CR100" s="94"/>
      <c r="CS100" s="156"/>
      <c r="CT100" s="156"/>
      <c r="CU100" s="156"/>
      <c r="CV100" s="156"/>
      <c r="CW100" s="156"/>
      <c r="CX100" s="156"/>
      <c r="CY100" s="156"/>
      <c r="CZ100" s="156"/>
      <c r="DA100" s="95"/>
      <c r="DB100" s="164"/>
      <c r="DC100" s="94"/>
      <c r="DD100" s="94"/>
      <c r="DE100" s="94"/>
      <c r="DF100" s="94"/>
      <c r="DG100" s="156"/>
      <c r="DH100" s="156"/>
      <c r="DI100" s="156"/>
      <c r="DJ100" s="156"/>
      <c r="DK100" s="156"/>
      <c r="DL100" s="156"/>
      <c r="DM100" s="203"/>
      <c r="DN100" s="164"/>
      <c r="DO100" s="94"/>
      <c r="DP100" s="94"/>
      <c r="DQ100" s="156"/>
      <c r="DR100" s="156"/>
      <c r="DS100" s="156"/>
      <c r="DT100" s="156"/>
      <c r="DU100" s="156"/>
      <c r="DV100" s="156"/>
      <c r="DW100" s="156"/>
      <c r="DX100" s="156"/>
      <c r="DY100" s="95"/>
    </row>
    <row r="101" spans="1:129" s="38" customFormat="1" x14ac:dyDescent="0.25">
      <c r="A101" s="179" t="s">
        <v>34</v>
      </c>
      <c r="B101" s="168">
        <v>312299.93</v>
      </c>
      <c r="C101" s="104">
        <v>306692.46999999997</v>
      </c>
      <c r="D101" s="104">
        <v>208377.03</v>
      </c>
      <c r="E101" s="104">
        <v>133672.04</v>
      </c>
      <c r="F101" s="104">
        <v>93684.800000000003</v>
      </c>
      <c r="G101" s="104">
        <v>69040.89</v>
      </c>
      <c r="H101" s="104">
        <v>66621.649999999994</v>
      </c>
      <c r="I101" s="104">
        <v>69371.039999999994</v>
      </c>
      <c r="J101" s="104">
        <v>94902.36</v>
      </c>
      <c r="K101" s="104">
        <v>165565.26999999999</v>
      </c>
      <c r="L101" s="168">
        <v>261746.59</v>
      </c>
      <c r="M101" s="104">
        <v>275788</v>
      </c>
      <c r="N101" s="104">
        <v>257676.24</v>
      </c>
      <c r="O101" s="104">
        <v>222244.98</v>
      </c>
      <c r="P101" s="104">
        <v>188608.55</v>
      </c>
      <c r="Q101" s="104">
        <v>104872.07</v>
      </c>
      <c r="R101" s="104">
        <v>81013.100000000006</v>
      </c>
      <c r="S101" s="104">
        <v>65935.67</v>
      </c>
      <c r="T101" s="104">
        <v>72072.56</v>
      </c>
      <c r="U101" s="104">
        <v>78692.86</v>
      </c>
      <c r="V101" s="104">
        <v>86940.39</v>
      </c>
      <c r="W101" s="104">
        <v>155853.99</v>
      </c>
      <c r="X101" s="168">
        <f t="shared" ref="X101:AG105" si="556">B101-N101</f>
        <v>54623.69</v>
      </c>
      <c r="Y101" s="104">
        <f t="shared" si="556"/>
        <v>84447.489999999962</v>
      </c>
      <c r="Z101" s="104">
        <f t="shared" si="556"/>
        <v>19768.48000000001</v>
      </c>
      <c r="AA101" s="104">
        <f t="shared" si="556"/>
        <v>28799.97</v>
      </c>
      <c r="AB101" s="104">
        <f t="shared" si="556"/>
        <v>12671.699999999997</v>
      </c>
      <c r="AC101" s="104">
        <f t="shared" si="556"/>
        <v>3105.2200000000012</v>
      </c>
      <c r="AD101" s="104">
        <f t="shared" si="556"/>
        <v>-5450.9100000000035</v>
      </c>
      <c r="AE101" s="104">
        <f t="shared" si="556"/>
        <v>-9321.820000000007</v>
      </c>
      <c r="AF101" s="104">
        <f t="shared" si="556"/>
        <v>7961.9700000000012</v>
      </c>
      <c r="AG101" s="106">
        <f t="shared" si="556"/>
        <v>9711.2799999999988</v>
      </c>
      <c r="AH101" s="168">
        <v>241753.86</v>
      </c>
      <c r="AI101" s="104">
        <v>178475.53</v>
      </c>
      <c r="AJ101" s="104">
        <v>257187.79</v>
      </c>
      <c r="AK101" s="104">
        <v>224881.08</v>
      </c>
      <c r="AL101" s="104">
        <v>164221.64000000001</v>
      </c>
      <c r="AM101" s="104">
        <v>117637.54</v>
      </c>
      <c r="AN101" s="104">
        <v>86382.5</v>
      </c>
      <c r="AO101" s="104">
        <v>74683.850000000006</v>
      </c>
      <c r="AP101" s="104">
        <v>75638.100000000006</v>
      </c>
      <c r="AQ101" s="104">
        <v>63240.51</v>
      </c>
      <c r="AR101" s="104">
        <v>72445.06</v>
      </c>
      <c r="AS101" s="106">
        <v>204085.95</v>
      </c>
      <c r="AT101" s="168">
        <f>L101-AH101</f>
        <v>19992.73000000001</v>
      </c>
      <c r="AU101" s="104">
        <f t="shared" ref="AU101:BE105" si="557">M101-AI101</f>
        <v>97312.47</v>
      </c>
      <c r="AV101" s="104">
        <f t="shared" si="557"/>
        <v>488.44999999998254</v>
      </c>
      <c r="AW101" s="104">
        <f t="shared" si="557"/>
        <v>-2636.0999999999767</v>
      </c>
      <c r="AX101" s="104">
        <f t="shared" si="557"/>
        <v>24386.909999999974</v>
      </c>
      <c r="AY101" s="104">
        <f t="shared" si="557"/>
        <v>-12765.469999999987</v>
      </c>
      <c r="AZ101" s="104">
        <f t="shared" si="557"/>
        <v>-5369.3999999999942</v>
      </c>
      <c r="BA101" s="104">
        <f t="shared" si="557"/>
        <v>-8748.1800000000076</v>
      </c>
      <c r="BB101" s="104">
        <f t="shared" si="557"/>
        <v>-3565.5400000000081</v>
      </c>
      <c r="BC101" s="104">
        <f t="shared" si="557"/>
        <v>15452.349999999999</v>
      </c>
      <c r="BD101" s="104">
        <f t="shared" si="557"/>
        <v>14495.330000000002</v>
      </c>
      <c r="BE101" s="106">
        <f t="shared" si="557"/>
        <v>-48231.960000000021</v>
      </c>
      <c r="BF101" s="168">
        <v>294858.52</v>
      </c>
      <c r="BG101" s="104">
        <v>428372.22</v>
      </c>
      <c r="BH101" s="104">
        <v>474530.81</v>
      </c>
      <c r="BI101" s="104">
        <v>352099.33</v>
      </c>
      <c r="BJ101" s="104">
        <v>236735.13</v>
      </c>
      <c r="BK101" s="104">
        <v>146342.53</v>
      </c>
      <c r="BL101" s="104">
        <v>110471.29</v>
      </c>
      <c r="BM101" s="104">
        <v>98355.23</v>
      </c>
      <c r="BN101" s="104">
        <v>82603.100000000006</v>
      </c>
      <c r="BO101" s="104">
        <v>87800.7</v>
      </c>
      <c r="BP101" s="104">
        <v>106101.15</v>
      </c>
      <c r="BQ101" s="106">
        <v>249193.09</v>
      </c>
      <c r="BR101" s="168">
        <f t="shared" ref="BR101:BR105" si="558">AH101-BF101</f>
        <v>-53104.660000000033</v>
      </c>
      <c r="BS101" s="104">
        <f t="shared" ref="BS101:BS105" si="559">AI101-BG101</f>
        <v>-249896.68999999997</v>
      </c>
      <c r="BT101" s="104">
        <f t="shared" ref="BT101:BT105" si="560">AJ101-BH101</f>
        <v>-217343.02</v>
      </c>
      <c r="BU101" s="104">
        <f t="shared" ref="BU101:BU105" si="561">AK101-BI101</f>
        <v>-127218.25000000003</v>
      </c>
      <c r="BV101" s="104">
        <f t="shared" ref="BV101:BV105" si="562">AL101-BJ101</f>
        <v>-72513.489999999991</v>
      </c>
      <c r="BW101" s="104">
        <f t="shared" ref="BW101:BW105" si="563">AM101-BK101</f>
        <v>-28704.990000000005</v>
      </c>
      <c r="BX101" s="104">
        <f t="shared" ref="BX101:BX105" si="564">AN101-BL101</f>
        <v>-24088.789999999994</v>
      </c>
      <c r="BY101" s="104">
        <f t="shared" ref="BY101:BY105" si="565">AO101-BM101</f>
        <v>-23671.37999999999</v>
      </c>
      <c r="BZ101" s="104">
        <f t="shared" ref="BZ101:BZ105" si="566">AP101-BN101</f>
        <v>-6965</v>
      </c>
      <c r="CA101" s="104">
        <f t="shared" ref="CA101:CA105" si="567">AQ101-BO101</f>
        <v>-24560.189999999995</v>
      </c>
      <c r="CB101" s="104">
        <f t="shared" ref="CB101:CB105" si="568">AR101-BP101</f>
        <v>-33656.089999999997</v>
      </c>
      <c r="CC101" s="106">
        <f t="shared" ref="CC101:CC105" si="569">AS101-BQ101</f>
        <v>-45107.139999999985</v>
      </c>
      <c r="CD101" s="168">
        <v>438963.52</v>
      </c>
      <c r="CE101" s="104">
        <v>377501.2</v>
      </c>
      <c r="CF101" s="104">
        <v>302290.09999999998</v>
      </c>
      <c r="CG101" s="104">
        <v>258192.91</v>
      </c>
      <c r="CH101" s="104">
        <v>195259.44</v>
      </c>
      <c r="CI101" s="104">
        <v>121531.33</v>
      </c>
      <c r="CJ101" s="104">
        <v>82275.31</v>
      </c>
      <c r="CK101" s="104">
        <v>20833.89</v>
      </c>
      <c r="CL101" s="104">
        <v>68671.710000000006</v>
      </c>
      <c r="CM101" s="104">
        <v>48773.25</v>
      </c>
      <c r="CN101" s="104">
        <v>94040.31</v>
      </c>
      <c r="CO101" s="106"/>
      <c r="CP101" s="104">
        <f t="shared" ref="CP101:DA103" si="570">CD101-BF101</f>
        <v>144105</v>
      </c>
      <c r="CQ101" s="104">
        <f t="shared" si="570"/>
        <v>-50871.01999999996</v>
      </c>
      <c r="CR101" s="104">
        <f t="shared" si="570"/>
        <v>-172240.71000000002</v>
      </c>
      <c r="CS101" s="104">
        <f t="shared" si="570"/>
        <v>-93906.420000000013</v>
      </c>
      <c r="CT101" s="104">
        <f t="shared" si="570"/>
        <v>-41475.69</v>
      </c>
      <c r="CU101" s="104">
        <f t="shared" si="570"/>
        <v>-24811.199999999997</v>
      </c>
      <c r="CV101" s="104">
        <f t="shared" si="570"/>
        <v>-28195.979999999996</v>
      </c>
      <c r="CW101" s="104">
        <f t="shared" si="570"/>
        <v>-77521.34</v>
      </c>
      <c r="CX101" s="104">
        <f t="shared" si="570"/>
        <v>-13931.39</v>
      </c>
      <c r="CY101" s="104">
        <f t="shared" si="570"/>
        <v>-39027.449999999997</v>
      </c>
      <c r="CZ101" s="104">
        <f t="shared" si="570"/>
        <v>-12060.839999999997</v>
      </c>
      <c r="DA101" s="106">
        <f t="shared" si="570"/>
        <v>-249193.09</v>
      </c>
      <c r="DB101" s="168">
        <v>233700.01</v>
      </c>
      <c r="DC101" s="104">
        <v>317925.44</v>
      </c>
      <c r="DD101" s="104">
        <v>300359.96000000002</v>
      </c>
      <c r="DE101" s="104">
        <v>204067.35</v>
      </c>
      <c r="DF101" s="104">
        <v>253942.64</v>
      </c>
      <c r="DG101" s="104">
        <v>146592.97</v>
      </c>
      <c r="DH101" s="104">
        <v>99076.95</v>
      </c>
      <c r="DI101" s="104">
        <v>101836.97</v>
      </c>
      <c r="DJ101" s="104">
        <v>70860.11</v>
      </c>
      <c r="DK101" s="104">
        <v>75562.48</v>
      </c>
      <c r="DL101" s="104">
        <v>76349.58</v>
      </c>
      <c r="DM101" s="106"/>
      <c r="DN101" s="104">
        <f>DB101-CD101</f>
        <v>-205263.51</v>
      </c>
      <c r="DO101" s="104">
        <f t="shared" ref="DO101:DY105" si="571">DC101-CE101</f>
        <v>-59575.760000000009</v>
      </c>
      <c r="DP101" s="104">
        <f t="shared" si="571"/>
        <v>-1930.1399999999558</v>
      </c>
      <c r="DQ101" s="104">
        <f t="shared" si="571"/>
        <v>-54125.56</v>
      </c>
      <c r="DR101" s="104">
        <f t="shared" si="571"/>
        <v>58683.200000000012</v>
      </c>
      <c r="DS101" s="104">
        <f t="shared" si="571"/>
        <v>25061.64</v>
      </c>
      <c r="DT101" s="104">
        <f t="shared" si="571"/>
        <v>16801.64</v>
      </c>
      <c r="DU101" s="104">
        <f t="shared" si="571"/>
        <v>81003.08</v>
      </c>
      <c r="DV101" s="104">
        <f t="shared" si="571"/>
        <v>2188.3999999999942</v>
      </c>
      <c r="DW101" s="104">
        <f t="shared" si="571"/>
        <v>26789.229999999996</v>
      </c>
      <c r="DX101" s="104">
        <f t="shared" si="571"/>
        <v>-17690.729999999996</v>
      </c>
      <c r="DY101" s="106">
        <f t="shared" si="571"/>
        <v>0</v>
      </c>
    </row>
    <row r="102" spans="1:129" s="38" customFormat="1" x14ac:dyDescent="0.25">
      <c r="A102" s="179" t="s">
        <v>35</v>
      </c>
      <c r="B102" s="168">
        <v>25692.12</v>
      </c>
      <c r="C102" s="104">
        <v>30821.72</v>
      </c>
      <c r="D102" s="104">
        <v>12464.11</v>
      </c>
      <c r="E102" s="104">
        <v>11125.44</v>
      </c>
      <c r="F102" s="104">
        <v>4488.04</v>
      </c>
      <c r="G102" s="104">
        <v>4333.3999999999996</v>
      </c>
      <c r="H102" s="104">
        <v>2736.66</v>
      </c>
      <c r="I102" s="104">
        <v>3063.32</v>
      </c>
      <c r="J102" s="104">
        <v>4617.88</v>
      </c>
      <c r="K102" s="104">
        <v>5893.7</v>
      </c>
      <c r="L102" s="168">
        <v>13971</v>
      </c>
      <c r="M102" s="104">
        <v>30047.98</v>
      </c>
      <c r="N102" s="104">
        <v>18215.57</v>
      </c>
      <c r="O102" s="104">
        <v>11964.83</v>
      </c>
      <c r="P102" s="104">
        <v>7559.42</v>
      </c>
      <c r="Q102" s="104">
        <v>3705.66</v>
      </c>
      <c r="R102" s="104">
        <v>3230.64</v>
      </c>
      <c r="S102" s="104">
        <v>8154.27</v>
      </c>
      <c r="T102" s="104">
        <v>3407.25</v>
      </c>
      <c r="U102" s="104">
        <v>2896.3</v>
      </c>
      <c r="V102" s="104">
        <v>3271.6</v>
      </c>
      <c r="W102" s="104">
        <v>5690.18</v>
      </c>
      <c r="X102" s="168">
        <f t="shared" si="556"/>
        <v>7476.5499999999993</v>
      </c>
      <c r="Y102" s="104">
        <f t="shared" si="556"/>
        <v>18856.89</v>
      </c>
      <c r="Z102" s="104">
        <f t="shared" si="556"/>
        <v>4904.6900000000005</v>
      </c>
      <c r="AA102" s="104">
        <f t="shared" si="556"/>
        <v>7419.7800000000007</v>
      </c>
      <c r="AB102" s="104">
        <f t="shared" si="556"/>
        <v>1257.4000000000001</v>
      </c>
      <c r="AC102" s="104">
        <f t="shared" si="556"/>
        <v>-3820.8700000000008</v>
      </c>
      <c r="AD102" s="104">
        <f t="shared" si="556"/>
        <v>-670.59000000000015</v>
      </c>
      <c r="AE102" s="104">
        <f t="shared" si="556"/>
        <v>167.01999999999998</v>
      </c>
      <c r="AF102" s="104">
        <f t="shared" si="556"/>
        <v>1346.2800000000002</v>
      </c>
      <c r="AG102" s="106">
        <f t="shared" si="556"/>
        <v>203.51999999999953</v>
      </c>
      <c r="AH102" s="168">
        <v>9135.36</v>
      </c>
      <c r="AI102" s="104">
        <v>4767.24</v>
      </c>
      <c r="AJ102" s="104">
        <v>25217.99</v>
      </c>
      <c r="AK102" s="104">
        <v>19011.3</v>
      </c>
      <c r="AL102" s="104">
        <v>13622.72</v>
      </c>
      <c r="AM102" s="104">
        <v>4388.7299999999996</v>
      </c>
      <c r="AN102" s="104">
        <v>3604.13</v>
      </c>
      <c r="AO102" s="104">
        <v>10211.73</v>
      </c>
      <c r="AP102" s="104">
        <v>3976.04</v>
      </c>
      <c r="AQ102" s="104">
        <v>2025.42</v>
      </c>
      <c r="AR102" s="104">
        <v>1793.6</v>
      </c>
      <c r="AS102" s="106">
        <v>33656.58</v>
      </c>
      <c r="AT102" s="168">
        <f t="shared" ref="AT102:AT105" si="572">L102-AH102</f>
        <v>4835.6399999999994</v>
      </c>
      <c r="AU102" s="104">
        <f t="shared" si="557"/>
        <v>25280.739999999998</v>
      </c>
      <c r="AV102" s="104">
        <f t="shared" si="557"/>
        <v>-7002.4200000000019</v>
      </c>
      <c r="AW102" s="104">
        <f t="shared" si="557"/>
        <v>-7046.4699999999993</v>
      </c>
      <c r="AX102" s="104">
        <f t="shared" si="557"/>
        <v>-6063.2999999999993</v>
      </c>
      <c r="AY102" s="104">
        <f t="shared" si="557"/>
        <v>-683.06999999999971</v>
      </c>
      <c r="AZ102" s="104">
        <f t="shared" si="557"/>
        <v>-373.49000000000024</v>
      </c>
      <c r="BA102" s="104">
        <f t="shared" si="557"/>
        <v>-2057.4599999999991</v>
      </c>
      <c r="BB102" s="104">
        <f t="shared" si="557"/>
        <v>-568.79</v>
      </c>
      <c r="BC102" s="104">
        <f t="shared" si="557"/>
        <v>870.88000000000011</v>
      </c>
      <c r="BD102" s="104">
        <f t="shared" si="557"/>
        <v>1478</v>
      </c>
      <c r="BE102" s="106">
        <f t="shared" si="557"/>
        <v>-27966.400000000001</v>
      </c>
      <c r="BF102" s="168">
        <v>13299.88</v>
      </c>
      <c r="BG102" s="104">
        <v>21651.86</v>
      </c>
      <c r="BH102" s="104">
        <v>11172.89</v>
      </c>
      <c r="BI102" s="104">
        <v>5485.93</v>
      </c>
      <c r="BJ102" s="104">
        <v>36048.639999999999</v>
      </c>
      <c r="BK102" s="104">
        <v>24409.9</v>
      </c>
      <c r="BL102" s="104">
        <v>4277.51</v>
      </c>
      <c r="BM102" s="104">
        <v>13164.9</v>
      </c>
      <c r="BN102" s="104">
        <v>9347.39</v>
      </c>
      <c r="BO102" s="104">
        <v>2954.35</v>
      </c>
      <c r="BP102" s="104">
        <v>2899.99</v>
      </c>
      <c r="BQ102" s="106">
        <v>4689.3100000000004</v>
      </c>
      <c r="BR102" s="168">
        <f t="shared" si="558"/>
        <v>-4164.5199999999986</v>
      </c>
      <c r="BS102" s="104">
        <f t="shared" si="559"/>
        <v>-16884.620000000003</v>
      </c>
      <c r="BT102" s="104">
        <f t="shared" si="560"/>
        <v>14045.100000000002</v>
      </c>
      <c r="BU102" s="104">
        <f t="shared" si="561"/>
        <v>13525.369999999999</v>
      </c>
      <c r="BV102" s="104">
        <f t="shared" si="562"/>
        <v>-22425.919999999998</v>
      </c>
      <c r="BW102" s="104">
        <f t="shared" si="563"/>
        <v>-20021.170000000002</v>
      </c>
      <c r="BX102" s="104">
        <f t="shared" si="564"/>
        <v>-673.38000000000011</v>
      </c>
      <c r="BY102" s="104">
        <f t="shared" si="565"/>
        <v>-2953.17</v>
      </c>
      <c r="BZ102" s="104">
        <f t="shared" si="566"/>
        <v>-5371.3499999999995</v>
      </c>
      <c r="CA102" s="104">
        <f t="shared" si="567"/>
        <v>-928.92999999999984</v>
      </c>
      <c r="CB102" s="104">
        <f t="shared" si="568"/>
        <v>-1106.3899999999999</v>
      </c>
      <c r="CC102" s="106">
        <f t="shared" si="569"/>
        <v>28967.27</v>
      </c>
      <c r="CD102" s="168">
        <v>18104.68</v>
      </c>
      <c r="CE102" s="104">
        <v>24640</v>
      </c>
      <c r="CF102" s="104">
        <v>17684.740000000002</v>
      </c>
      <c r="CG102" s="104">
        <v>20712.05</v>
      </c>
      <c r="CH102" s="104">
        <v>6960.73</v>
      </c>
      <c r="CI102" s="104">
        <v>16471.73</v>
      </c>
      <c r="CJ102" s="104">
        <v>2275.14</v>
      </c>
      <c r="CK102" s="104">
        <v>4030.22</v>
      </c>
      <c r="CL102" s="104">
        <v>9091.09</v>
      </c>
      <c r="CM102" s="104">
        <v>0</v>
      </c>
      <c r="CN102" s="104">
        <v>0</v>
      </c>
      <c r="CO102" s="106"/>
      <c r="CP102" s="104">
        <f t="shared" si="570"/>
        <v>4804.8000000000011</v>
      </c>
      <c r="CQ102" s="104">
        <f t="shared" si="570"/>
        <v>2988.1399999999994</v>
      </c>
      <c r="CR102" s="104">
        <f t="shared" si="570"/>
        <v>6511.8500000000022</v>
      </c>
      <c r="CS102" s="104">
        <f t="shared" si="570"/>
        <v>15226.119999999999</v>
      </c>
      <c r="CT102" s="104">
        <f t="shared" si="570"/>
        <v>-29087.91</v>
      </c>
      <c r="CU102" s="104">
        <f t="shared" si="570"/>
        <v>-7938.1700000000019</v>
      </c>
      <c r="CV102" s="104">
        <f t="shared" si="570"/>
        <v>-2002.3700000000003</v>
      </c>
      <c r="CW102" s="104">
        <f t="shared" si="570"/>
        <v>-9134.68</v>
      </c>
      <c r="CX102" s="104">
        <f t="shared" si="570"/>
        <v>-256.29999999999927</v>
      </c>
      <c r="CY102" s="104">
        <f t="shared" si="570"/>
        <v>-2954.35</v>
      </c>
      <c r="CZ102" s="104">
        <f t="shared" si="570"/>
        <v>-2899.99</v>
      </c>
      <c r="DA102" s="106">
        <f t="shared" si="570"/>
        <v>-4689.3100000000004</v>
      </c>
      <c r="DB102" s="168">
        <v>0</v>
      </c>
      <c r="DC102" s="104">
        <v>0</v>
      </c>
      <c r="DD102" s="104">
        <v>0</v>
      </c>
      <c r="DE102" s="104">
        <v>0</v>
      </c>
      <c r="DF102" s="104">
        <v>0</v>
      </c>
      <c r="DG102" s="104">
        <v>0</v>
      </c>
      <c r="DH102" s="104">
        <v>0</v>
      </c>
      <c r="DI102" s="104">
        <v>0</v>
      </c>
      <c r="DJ102" s="104">
        <v>0</v>
      </c>
      <c r="DK102" s="104">
        <v>0</v>
      </c>
      <c r="DL102" s="104">
        <v>0</v>
      </c>
      <c r="DM102" s="106"/>
      <c r="DN102" s="104">
        <f t="shared" ref="DN102:DN105" si="573">DB102-CD102</f>
        <v>-18104.68</v>
      </c>
      <c r="DO102" s="104">
        <f t="shared" si="571"/>
        <v>-24640</v>
      </c>
      <c r="DP102" s="104">
        <f t="shared" si="571"/>
        <v>-17684.740000000002</v>
      </c>
      <c r="DQ102" s="104">
        <f t="shared" si="571"/>
        <v>-20712.05</v>
      </c>
      <c r="DR102" s="104">
        <f t="shared" si="571"/>
        <v>-6960.73</v>
      </c>
      <c r="DS102" s="104">
        <f t="shared" si="571"/>
        <v>-16471.73</v>
      </c>
      <c r="DT102" s="104">
        <f t="shared" si="571"/>
        <v>-2275.14</v>
      </c>
      <c r="DU102" s="104">
        <f t="shared" si="571"/>
        <v>-4030.22</v>
      </c>
      <c r="DV102" s="104">
        <f t="shared" si="571"/>
        <v>-9091.09</v>
      </c>
      <c r="DW102" s="104">
        <f t="shared" si="571"/>
        <v>0</v>
      </c>
      <c r="DX102" s="104">
        <f t="shared" si="571"/>
        <v>0</v>
      </c>
      <c r="DY102" s="106">
        <f t="shared" si="571"/>
        <v>0</v>
      </c>
    </row>
    <row r="103" spans="1:129" s="38" customFormat="1" x14ac:dyDescent="0.25">
      <c r="A103" s="179" t="s">
        <v>36</v>
      </c>
      <c r="B103" s="168">
        <v>121656.59</v>
      </c>
      <c r="C103" s="104">
        <v>97674.32</v>
      </c>
      <c r="D103" s="104">
        <v>58676.23</v>
      </c>
      <c r="E103" s="104">
        <v>32630.57</v>
      </c>
      <c r="F103" s="104">
        <v>22898.16</v>
      </c>
      <c r="G103" s="104">
        <v>27231.54</v>
      </c>
      <c r="H103" s="104">
        <v>20706.919999999998</v>
      </c>
      <c r="I103" s="104">
        <v>20527.82</v>
      </c>
      <c r="J103" s="104">
        <v>29008.78</v>
      </c>
      <c r="K103" s="104">
        <v>57704.68</v>
      </c>
      <c r="L103" s="168">
        <v>87149.67</v>
      </c>
      <c r="M103" s="104">
        <v>98111.29</v>
      </c>
      <c r="N103" s="104">
        <v>86176.3</v>
      </c>
      <c r="O103" s="104">
        <v>64450.22</v>
      </c>
      <c r="P103" s="104">
        <v>52489.15</v>
      </c>
      <c r="Q103" s="104">
        <v>31045.85</v>
      </c>
      <c r="R103" s="104">
        <v>20841.48</v>
      </c>
      <c r="S103" s="104">
        <v>15772.39</v>
      </c>
      <c r="T103" s="104">
        <v>19538.150000000001</v>
      </c>
      <c r="U103" s="104">
        <v>23887.13</v>
      </c>
      <c r="V103" s="104">
        <v>23691.200000000001</v>
      </c>
      <c r="W103" s="104">
        <v>44419.1</v>
      </c>
      <c r="X103" s="168">
        <f t="shared" si="556"/>
        <v>35480.289999999994</v>
      </c>
      <c r="Y103" s="104">
        <f t="shared" si="556"/>
        <v>33224.100000000006</v>
      </c>
      <c r="Z103" s="104">
        <f t="shared" si="556"/>
        <v>6187.0800000000017</v>
      </c>
      <c r="AA103" s="104">
        <f t="shared" si="556"/>
        <v>1584.7200000000012</v>
      </c>
      <c r="AB103" s="104">
        <f t="shared" si="556"/>
        <v>2056.6800000000003</v>
      </c>
      <c r="AC103" s="104">
        <f t="shared" si="556"/>
        <v>11459.150000000001</v>
      </c>
      <c r="AD103" s="104">
        <f t="shared" si="556"/>
        <v>1168.7699999999968</v>
      </c>
      <c r="AE103" s="104">
        <f t="shared" si="556"/>
        <v>-3359.3100000000013</v>
      </c>
      <c r="AF103" s="104">
        <f t="shared" si="556"/>
        <v>5317.5799999999981</v>
      </c>
      <c r="AG103" s="106">
        <f t="shared" si="556"/>
        <v>13285.580000000002</v>
      </c>
      <c r="AH103" s="168">
        <v>77002.679999999993</v>
      </c>
      <c r="AI103" s="104">
        <v>41062.68</v>
      </c>
      <c r="AJ103" s="104">
        <v>109215.52</v>
      </c>
      <c r="AK103" s="104">
        <v>75600.83</v>
      </c>
      <c r="AL103" s="104">
        <v>39234.14</v>
      </c>
      <c r="AM103" s="104">
        <v>30916.01</v>
      </c>
      <c r="AN103" s="104">
        <v>12458.29</v>
      </c>
      <c r="AO103" s="104">
        <v>18647.169999999998</v>
      </c>
      <c r="AP103" s="104">
        <v>14878.47</v>
      </c>
      <c r="AQ103" s="104">
        <v>16796.07</v>
      </c>
      <c r="AR103" s="104">
        <v>26082.82</v>
      </c>
      <c r="AS103" s="106">
        <v>77490.929999999993</v>
      </c>
      <c r="AT103" s="168">
        <f t="shared" si="572"/>
        <v>10146.990000000005</v>
      </c>
      <c r="AU103" s="104">
        <f t="shared" si="557"/>
        <v>57048.609999999993</v>
      </c>
      <c r="AV103" s="104">
        <f t="shared" si="557"/>
        <v>-23039.22</v>
      </c>
      <c r="AW103" s="104">
        <f t="shared" si="557"/>
        <v>-11150.61</v>
      </c>
      <c r="AX103" s="104">
        <f t="shared" si="557"/>
        <v>13255.010000000002</v>
      </c>
      <c r="AY103" s="104">
        <f t="shared" si="557"/>
        <v>129.84000000000015</v>
      </c>
      <c r="AZ103" s="104">
        <f t="shared" si="557"/>
        <v>8383.1899999999987</v>
      </c>
      <c r="BA103" s="104">
        <f t="shared" si="557"/>
        <v>-2874.7799999999988</v>
      </c>
      <c r="BB103" s="104">
        <f t="shared" si="557"/>
        <v>4659.6800000000021</v>
      </c>
      <c r="BC103" s="104">
        <f t="shared" si="557"/>
        <v>7091.0600000000013</v>
      </c>
      <c r="BD103" s="104">
        <f t="shared" si="557"/>
        <v>-2391.619999999999</v>
      </c>
      <c r="BE103" s="106">
        <f t="shared" si="557"/>
        <v>-33071.829999999994</v>
      </c>
      <c r="BF103" s="168">
        <v>154862.64000000001</v>
      </c>
      <c r="BG103" s="104">
        <v>85990.67</v>
      </c>
      <c r="BH103" s="104">
        <v>297380.49</v>
      </c>
      <c r="BI103" s="104">
        <v>104604.61</v>
      </c>
      <c r="BJ103" s="104">
        <v>127583.05</v>
      </c>
      <c r="BK103" s="104">
        <v>55814.86</v>
      </c>
      <c r="BL103" s="104">
        <v>39286.18</v>
      </c>
      <c r="BM103" s="104">
        <v>28279.96</v>
      </c>
      <c r="BN103" s="104">
        <v>12046.24</v>
      </c>
      <c r="BO103" s="104">
        <v>32200.65</v>
      </c>
      <c r="BP103" s="104">
        <v>36259.06</v>
      </c>
      <c r="BQ103" s="106">
        <v>124238.57</v>
      </c>
      <c r="BR103" s="168">
        <f t="shared" si="558"/>
        <v>-77859.960000000021</v>
      </c>
      <c r="BS103" s="104">
        <f t="shared" si="559"/>
        <v>-44927.99</v>
      </c>
      <c r="BT103" s="104">
        <f t="shared" si="560"/>
        <v>-188164.96999999997</v>
      </c>
      <c r="BU103" s="104">
        <f t="shared" si="561"/>
        <v>-29003.78</v>
      </c>
      <c r="BV103" s="104">
        <f t="shared" si="562"/>
        <v>-88348.91</v>
      </c>
      <c r="BW103" s="104">
        <f t="shared" si="563"/>
        <v>-24898.850000000002</v>
      </c>
      <c r="BX103" s="104">
        <f t="shared" si="564"/>
        <v>-26827.89</v>
      </c>
      <c r="BY103" s="104">
        <f t="shared" si="565"/>
        <v>-9632.7900000000009</v>
      </c>
      <c r="BZ103" s="104">
        <f t="shared" si="566"/>
        <v>2832.2299999999996</v>
      </c>
      <c r="CA103" s="104">
        <f t="shared" si="567"/>
        <v>-15404.580000000002</v>
      </c>
      <c r="CB103" s="104">
        <f t="shared" si="568"/>
        <v>-10176.239999999998</v>
      </c>
      <c r="CC103" s="106">
        <f t="shared" si="569"/>
        <v>-46747.640000000014</v>
      </c>
      <c r="CD103" s="168">
        <v>202286.98</v>
      </c>
      <c r="CE103" s="104">
        <v>134573.9</v>
      </c>
      <c r="CF103" s="104">
        <v>195997.52</v>
      </c>
      <c r="CG103" s="104">
        <v>76139.490000000005</v>
      </c>
      <c r="CH103" s="104">
        <v>139842.04999999999</v>
      </c>
      <c r="CI103" s="104">
        <v>33642.67</v>
      </c>
      <c r="CJ103" s="104">
        <v>23471.59</v>
      </c>
      <c r="CK103" s="104">
        <v>5742.9</v>
      </c>
      <c r="CL103" s="104">
        <v>15850.04</v>
      </c>
      <c r="CM103" s="104">
        <v>0</v>
      </c>
      <c r="CN103" s="104">
        <v>0</v>
      </c>
      <c r="CO103" s="106"/>
      <c r="CP103" s="104">
        <f t="shared" si="570"/>
        <v>47424.34</v>
      </c>
      <c r="CQ103" s="104">
        <f t="shared" si="570"/>
        <v>48583.229999999996</v>
      </c>
      <c r="CR103" s="104">
        <f t="shared" si="570"/>
        <v>-101382.97</v>
      </c>
      <c r="CS103" s="104">
        <f t="shared" si="570"/>
        <v>-28465.119999999995</v>
      </c>
      <c r="CT103" s="104">
        <f t="shared" si="570"/>
        <v>12258.999999999985</v>
      </c>
      <c r="CU103" s="104">
        <f t="shared" si="570"/>
        <v>-22172.190000000002</v>
      </c>
      <c r="CV103" s="104">
        <f t="shared" si="570"/>
        <v>-15814.59</v>
      </c>
      <c r="CW103" s="104">
        <f t="shared" si="570"/>
        <v>-22537.059999999998</v>
      </c>
      <c r="CX103" s="104">
        <f t="shared" si="570"/>
        <v>3803.8000000000011</v>
      </c>
      <c r="CY103" s="104">
        <f t="shared" si="570"/>
        <v>-32200.65</v>
      </c>
      <c r="CZ103" s="104">
        <f t="shared" si="570"/>
        <v>-36259.06</v>
      </c>
      <c r="DA103" s="106">
        <f t="shared" si="570"/>
        <v>-124238.57</v>
      </c>
      <c r="DB103" s="168">
        <v>0</v>
      </c>
      <c r="DC103" s="104">
        <v>0</v>
      </c>
      <c r="DD103" s="104">
        <v>0</v>
      </c>
      <c r="DE103" s="104">
        <v>0</v>
      </c>
      <c r="DF103" s="104">
        <v>0</v>
      </c>
      <c r="DG103" s="104">
        <v>0</v>
      </c>
      <c r="DH103" s="104">
        <v>0</v>
      </c>
      <c r="DI103" s="104">
        <v>0</v>
      </c>
      <c r="DJ103" s="104">
        <v>0</v>
      </c>
      <c r="DK103" s="104">
        <v>0</v>
      </c>
      <c r="DL103" s="104">
        <v>0</v>
      </c>
      <c r="DM103" s="106"/>
      <c r="DN103" s="104">
        <f t="shared" si="573"/>
        <v>-202286.98</v>
      </c>
      <c r="DO103" s="104">
        <f t="shared" si="571"/>
        <v>-134573.9</v>
      </c>
      <c r="DP103" s="104">
        <f t="shared" si="571"/>
        <v>-195997.52</v>
      </c>
      <c r="DQ103" s="104">
        <f t="shared" si="571"/>
        <v>-76139.490000000005</v>
      </c>
      <c r="DR103" s="104">
        <f t="shared" si="571"/>
        <v>-139842.04999999999</v>
      </c>
      <c r="DS103" s="104">
        <f t="shared" si="571"/>
        <v>-33642.67</v>
      </c>
      <c r="DT103" s="104">
        <f t="shared" si="571"/>
        <v>-23471.59</v>
      </c>
      <c r="DU103" s="104">
        <f t="shared" si="571"/>
        <v>-5742.9</v>
      </c>
      <c r="DV103" s="104">
        <f t="shared" si="571"/>
        <v>-15850.04</v>
      </c>
      <c r="DW103" s="104">
        <f t="shared" si="571"/>
        <v>0</v>
      </c>
      <c r="DX103" s="104">
        <f t="shared" si="571"/>
        <v>0</v>
      </c>
      <c r="DY103" s="106">
        <f t="shared" si="571"/>
        <v>0</v>
      </c>
    </row>
    <row r="104" spans="1:129" s="38" customFormat="1" x14ac:dyDescent="0.25">
      <c r="A104" s="179" t="s">
        <v>37</v>
      </c>
      <c r="B104" s="168">
        <v>0</v>
      </c>
      <c r="C104" s="104">
        <v>0</v>
      </c>
      <c r="D104" s="104">
        <v>0</v>
      </c>
      <c r="E104" s="104">
        <v>0</v>
      </c>
      <c r="F104" s="104">
        <v>0</v>
      </c>
      <c r="G104" s="104">
        <v>0</v>
      </c>
      <c r="H104" s="104">
        <v>0</v>
      </c>
      <c r="I104" s="104">
        <v>0</v>
      </c>
      <c r="J104" s="104">
        <v>0</v>
      </c>
      <c r="K104" s="104">
        <v>0</v>
      </c>
      <c r="L104" s="168">
        <v>0</v>
      </c>
      <c r="M104" s="104">
        <v>0</v>
      </c>
      <c r="N104" s="104">
        <v>0</v>
      </c>
      <c r="O104" s="104">
        <v>0</v>
      </c>
      <c r="P104" s="104">
        <v>0</v>
      </c>
      <c r="Q104" s="104">
        <v>0</v>
      </c>
      <c r="R104" s="104">
        <v>0</v>
      </c>
      <c r="S104" s="104">
        <v>0</v>
      </c>
      <c r="T104" s="104">
        <v>0</v>
      </c>
      <c r="U104" s="104">
        <v>0</v>
      </c>
      <c r="V104" s="104">
        <v>0</v>
      </c>
      <c r="W104" s="104">
        <v>0</v>
      </c>
      <c r="X104" s="168">
        <f t="shared" si="556"/>
        <v>0</v>
      </c>
      <c r="Y104" s="104">
        <f t="shared" si="556"/>
        <v>0</v>
      </c>
      <c r="Z104" s="104">
        <f t="shared" si="556"/>
        <v>0</v>
      </c>
      <c r="AA104" s="104">
        <f t="shared" si="556"/>
        <v>0</v>
      </c>
      <c r="AB104" s="104">
        <f t="shared" si="556"/>
        <v>0</v>
      </c>
      <c r="AC104" s="104">
        <f t="shared" si="556"/>
        <v>0</v>
      </c>
      <c r="AD104" s="104">
        <f t="shared" si="556"/>
        <v>0</v>
      </c>
      <c r="AE104" s="104">
        <f t="shared" si="556"/>
        <v>0</v>
      </c>
      <c r="AF104" s="104">
        <f t="shared" si="556"/>
        <v>0</v>
      </c>
      <c r="AG104" s="106">
        <f t="shared" si="556"/>
        <v>0</v>
      </c>
      <c r="AH104" s="168">
        <v>0</v>
      </c>
      <c r="AI104" s="104">
        <v>0</v>
      </c>
      <c r="AJ104" s="104">
        <v>0</v>
      </c>
      <c r="AK104" s="104">
        <v>0</v>
      </c>
      <c r="AL104" s="104">
        <v>0</v>
      </c>
      <c r="AM104" s="104">
        <v>0</v>
      </c>
      <c r="AN104" s="104">
        <v>0</v>
      </c>
      <c r="AO104" s="104">
        <v>0</v>
      </c>
      <c r="AP104" s="104">
        <v>0</v>
      </c>
      <c r="AQ104" s="104">
        <v>0</v>
      </c>
      <c r="AR104" s="104">
        <v>0</v>
      </c>
      <c r="AS104" s="106">
        <v>0</v>
      </c>
      <c r="AT104" s="168">
        <f t="shared" si="572"/>
        <v>0</v>
      </c>
      <c r="AU104" s="104">
        <f t="shared" si="557"/>
        <v>0</v>
      </c>
      <c r="AV104" s="104">
        <f t="shared" si="557"/>
        <v>0</v>
      </c>
      <c r="AW104" s="104">
        <f t="shared" si="557"/>
        <v>0</v>
      </c>
      <c r="AX104" s="104">
        <f t="shared" si="557"/>
        <v>0</v>
      </c>
      <c r="AY104" s="104">
        <f t="shared" si="557"/>
        <v>0</v>
      </c>
      <c r="AZ104" s="104">
        <f t="shared" si="557"/>
        <v>0</v>
      </c>
      <c r="BA104" s="104">
        <f t="shared" si="557"/>
        <v>0</v>
      </c>
      <c r="BB104" s="104">
        <f t="shared" si="557"/>
        <v>0</v>
      </c>
      <c r="BC104" s="104">
        <f t="shared" si="557"/>
        <v>0</v>
      </c>
      <c r="BD104" s="104">
        <f t="shared" si="557"/>
        <v>0</v>
      </c>
      <c r="BE104" s="106">
        <f t="shared" si="557"/>
        <v>0</v>
      </c>
      <c r="BF104" s="168">
        <v>0</v>
      </c>
      <c r="BG104" s="104">
        <v>0</v>
      </c>
      <c r="BH104" s="104">
        <v>0</v>
      </c>
      <c r="BI104" s="104">
        <v>0</v>
      </c>
      <c r="BJ104" s="104">
        <v>0</v>
      </c>
      <c r="BK104" s="104">
        <v>0</v>
      </c>
      <c r="BL104" s="104">
        <v>0</v>
      </c>
      <c r="BM104" s="104">
        <v>0</v>
      </c>
      <c r="BN104" s="104">
        <v>0</v>
      </c>
      <c r="BO104" s="104">
        <v>0</v>
      </c>
      <c r="BP104" s="104">
        <v>0</v>
      </c>
      <c r="BQ104" s="106">
        <v>0</v>
      </c>
      <c r="BR104" s="168">
        <f t="shared" si="558"/>
        <v>0</v>
      </c>
      <c r="BS104" s="104">
        <f t="shared" si="559"/>
        <v>0</v>
      </c>
      <c r="BT104" s="104">
        <f t="shared" si="560"/>
        <v>0</v>
      </c>
      <c r="BU104" s="104">
        <f t="shared" si="561"/>
        <v>0</v>
      </c>
      <c r="BV104" s="104">
        <f t="shared" si="562"/>
        <v>0</v>
      </c>
      <c r="BW104" s="104">
        <f t="shared" si="563"/>
        <v>0</v>
      </c>
      <c r="BX104" s="104">
        <f t="shared" si="564"/>
        <v>0</v>
      </c>
      <c r="BY104" s="104">
        <f t="shared" si="565"/>
        <v>0</v>
      </c>
      <c r="BZ104" s="104">
        <f t="shared" si="566"/>
        <v>0</v>
      </c>
      <c r="CA104" s="104">
        <f t="shared" si="567"/>
        <v>0</v>
      </c>
      <c r="CB104" s="104">
        <f t="shared" si="568"/>
        <v>0</v>
      </c>
      <c r="CC104" s="106">
        <f t="shared" si="569"/>
        <v>0</v>
      </c>
      <c r="CD104" s="168">
        <v>0</v>
      </c>
      <c r="CE104" s="104">
        <v>0</v>
      </c>
      <c r="CF104" s="104">
        <v>0</v>
      </c>
      <c r="CG104" s="104">
        <v>0</v>
      </c>
      <c r="CH104" s="104">
        <v>0</v>
      </c>
      <c r="CI104" s="104">
        <v>0</v>
      </c>
      <c r="CJ104" s="104">
        <v>0</v>
      </c>
      <c r="CK104" s="104">
        <v>0</v>
      </c>
      <c r="CL104" s="104">
        <v>0</v>
      </c>
      <c r="CM104" s="104">
        <v>0</v>
      </c>
      <c r="CN104" s="104">
        <v>0</v>
      </c>
      <c r="CO104" s="106"/>
      <c r="CP104" s="165"/>
      <c r="CQ104" s="100"/>
      <c r="CR104" s="100"/>
      <c r="CS104" s="100"/>
      <c r="CT104" s="100"/>
      <c r="CU104" s="100"/>
      <c r="CV104" s="100"/>
      <c r="CW104" s="100"/>
      <c r="CX104" s="100"/>
      <c r="CY104" s="100"/>
      <c r="CZ104" s="100"/>
      <c r="DA104" s="200"/>
      <c r="DB104" s="168">
        <v>0</v>
      </c>
      <c r="DC104" s="104">
        <v>0</v>
      </c>
      <c r="DD104" s="104">
        <v>0</v>
      </c>
      <c r="DE104" s="104">
        <v>0</v>
      </c>
      <c r="DF104" s="104">
        <v>0</v>
      </c>
      <c r="DG104" s="104">
        <v>0</v>
      </c>
      <c r="DH104" s="104">
        <v>0</v>
      </c>
      <c r="DI104" s="104">
        <v>0</v>
      </c>
      <c r="DJ104" s="104">
        <v>0</v>
      </c>
      <c r="DK104" s="104">
        <v>0</v>
      </c>
      <c r="DL104" s="104">
        <v>0</v>
      </c>
      <c r="DM104" s="106"/>
      <c r="DN104" s="104">
        <f t="shared" si="573"/>
        <v>0</v>
      </c>
      <c r="DO104" s="100">
        <f t="shared" si="571"/>
        <v>0</v>
      </c>
      <c r="DP104" s="100">
        <f t="shared" si="571"/>
        <v>0</v>
      </c>
      <c r="DQ104" s="100">
        <f t="shared" si="571"/>
        <v>0</v>
      </c>
      <c r="DR104" s="100">
        <f t="shared" si="571"/>
        <v>0</v>
      </c>
      <c r="DS104" s="100">
        <f t="shared" si="571"/>
        <v>0</v>
      </c>
      <c r="DT104" s="100">
        <f t="shared" si="571"/>
        <v>0</v>
      </c>
      <c r="DU104" s="100">
        <f t="shared" si="571"/>
        <v>0</v>
      </c>
      <c r="DV104" s="100">
        <f t="shared" si="571"/>
        <v>0</v>
      </c>
      <c r="DW104" s="100">
        <f t="shared" si="571"/>
        <v>0</v>
      </c>
      <c r="DX104" s="100">
        <f t="shared" si="571"/>
        <v>0</v>
      </c>
      <c r="DY104" s="200">
        <f t="shared" si="571"/>
        <v>0</v>
      </c>
    </row>
    <row r="105" spans="1:129" s="38" customFormat="1" x14ac:dyDescent="0.25">
      <c r="A105" s="179" t="s">
        <v>46</v>
      </c>
      <c r="B105" s="168">
        <v>65320.31</v>
      </c>
      <c r="C105" s="104">
        <v>48205.78</v>
      </c>
      <c r="D105" s="104">
        <v>22073.61</v>
      </c>
      <c r="E105" s="104">
        <v>13184.66</v>
      </c>
      <c r="F105" s="104">
        <v>2947</v>
      </c>
      <c r="G105" s="104">
        <v>1444.57</v>
      </c>
      <c r="H105" s="104">
        <v>656.25</v>
      </c>
      <c r="I105" s="104">
        <v>1947.93</v>
      </c>
      <c r="J105" s="104">
        <v>11469.58</v>
      </c>
      <c r="K105" s="104">
        <v>33964.15</v>
      </c>
      <c r="L105" s="168">
        <v>42651.92</v>
      </c>
      <c r="M105" s="104">
        <v>53853.94</v>
      </c>
      <c r="N105" s="104">
        <v>43902.54</v>
      </c>
      <c r="O105" s="104">
        <v>27816.73</v>
      </c>
      <c r="P105" s="104">
        <v>7830.5</v>
      </c>
      <c r="Q105" s="104">
        <v>1629.11</v>
      </c>
      <c r="R105" s="104">
        <v>1328.1</v>
      </c>
      <c r="S105" s="104">
        <v>177.39</v>
      </c>
      <c r="T105" s="104">
        <v>320.79000000000002</v>
      </c>
      <c r="U105" s="104">
        <v>1242.21</v>
      </c>
      <c r="V105" s="104">
        <v>10922.31</v>
      </c>
      <c r="W105" s="104">
        <v>33068.550000000003</v>
      </c>
      <c r="X105" s="168">
        <f t="shared" si="556"/>
        <v>21417.769999999997</v>
      </c>
      <c r="Y105" s="104">
        <f t="shared" si="556"/>
        <v>20389.05</v>
      </c>
      <c r="Z105" s="104">
        <f t="shared" si="556"/>
        <v>14243.11</v>
      </c>
      <c r="AA105" s="104">
        <f t="shared" si="556"/>
        <v>11555.55</v>
      </c>
      <c r="AB105" s="104">
        <f t="shared" si="556"/>
        <v>1618.9</v>
      </c>
      <c r="AC105" s="104">
        <f t="shared" si="556"/>
        <v>1267.1799999999998</v>
      </c>
      <c r="AD105" s="104">
        <f t="shared" si="556"/>
        <v>335.46</v>
      </c>
      <c r="AE105" s="104">
        <f t="shared" si="556"/>
        <v>705.72</v>
      </c>
      <c r="AF105" s="104">
        <f t="shared" si="556"/>
        <v>547.27000000000044</v>
      </c>
      <c r="AG105" s="106">
        <f t="shared" si="556"/>
        <v>895.59999999999854</v>
      </c>
      <c r="AH105" s="168">
        <v>54115.040000000001</v>
      </c>
      <c r="AI105" s="104">
        <v>31966.91</v>
      </c>
      <c r="AJ105" s="104">
        <v>65234.75</v>
      </c>
      <c r="AK105" s="104">
        <v>1500</v>
      </c>
      <c r="AL105" s="104">
        <v>38914.839999999997</v>
      </c>
      <c r="AM105" s="104">
        <v>26173.47</v>
      </c>
      <c r="AN105" s="104">
        <v>3238.48</v>
      </c>
      <c r="AO105" s="104">
        <v>297.26</v>
      </c>
      <c r="AP105" s="104">
        <v>361.45</v>
      </c>
      <c r="AQ105" s="104">
        <v>0</v>
      </c>
      <c r="AR105" s="104"/>
      <c r="AS105" s="106"/>
      <c r="AT105" s="168">
        <f t="shared" si="572"/>
        <v>-11463.120000000003</v>
      </c>
      <c r="AU105" s="104">
        <f t="shared" si="557"/>
        <v>21887.030000000002</v>
      </c>
      <c r="AV105" s="104">
        <f t="shared" si="557"/>
        <v>-21332.21</v>
      </c>
      <c r="AW105" s="104">
        <f t="shared" si="557"/>
        <v>26316.73</v>
      </c>
      <c r="AX105" s="104">
        <f t="shared" si="557"/>
        <v>-31084.339999999997</v>
      </c>
      <c r="AY105" s="104">
        <f t="shared" si="557"/>
        <v>-24544.36</v>
      </c>
      <c r="AZ105" s="104">
        <f t="shared" si="557"/>
        <v>-1910.38</v>
      </c>
      <c r="BA105" s="104">
        <f t="shared" si="557"/>
        <v>-119.87</v>
      </c>
      <c r="BB105" s="104">
        <f t="shared" si="557"/>
        <v>-40.659999999999968</v>
      </c>
      <c r="BC105" s="104">
        <f t="shared" si="557"/>
        <v>1242.21</v>
      </c>
      <c r="BD105" s="104">
        <f t="shared" si="557"/>
        <v>10922.31</v>
      </c>
      <c r="BE105" s="106">
        <f t="shared" si="557"/>
        <v>33068.550000000003</v>
      </c>
      <c r="BF105" s="168">
        <v>0</v>
      </c>
      <c r="BG105" s="104">
        <v>0</v>
      </c>
      <c r="BH105" s="104">
        <v>0</v>
      </c>
      <c r="BI105" s="104">
        <v>0</v>
      </c>
      <c r="BJ105" s="104">
        <v>0</v>
      </c>
      <c r="BK105" s="104">
        <v>0</v>
      </c>
      <c r="BL105" s="104">
        <v>0</v>
      </c>
      <c r="BM105" s="104">
        <v>0</v>
      </c>
      <c r="BN105" s="104">
        <v>0</v>
      </c>
      <c r="BO105" s="104">
        <v>0</v>
      </c>
      <c r="BP105" s="104">
        <v>0</v>
      </c>
      <c r="BQ105" s="106">
        <v>0</v>
      </c>
      <c r="BR105" s="168">
        <f t="shared" si="558"/>
        <v>54115.040000000001</v>
      </c>
      <c r="BS105" s="104">
        <f t="shared" si="559"/>
        <v>31966.91</v>
      </c>
      <c r="BT105" s="104">
        <f t="shared" si="560"/>
        <v>65234.75</v>
      </c>
      <c r="BU105" s="104">
        <f t="shared" si="561"/>
        <v>1500</v>
      </c>
      <c r="BV105" s="104">
        <f t="shared" si="562"/>
        <v>38914.839999999997</v>
      </c>
      <c r="BW105" s="104">
        <f t="shared" si="563"/>
        <v>26173.47</v>
      </c>
      <c r="BX105" s="104">
        <f t="shared" si="564"/>
        <v>3238.48</v>
      </c>
      <c r="BY105" s="104">
        <f t="shared" si="565"/>
        <v>297.26</v>
      </c>
      <c r="BZ105" s="104">
        <f t="shared" si="566"/>
        <v>361.45</v>
      </c>
      <c r="CA105" s="104">
        <f t="shared" si="567"/>
        <v>0</v>
      </c>
      <c r="CB105" s="104">
        <f t="shared" si="568"/>
        <v>0</v>
      </c>
      <c r="CC105" s="106">
        <f t="shared" si="569"/>
        <v>0</v>
      </c>
      <c r="CD105" s="168">
        <v>0</v>
      </c>
      <c r="CE105" s="104">
        <v>0</v>
      </c>
      <c r="CF105" s="104">
        <v>0</v>
      </c>
      <c r="CG105" s="104">
        <v>0</v>
      </c>
      <c r="CH105" s="104">
        <v>0</v>
      </c>
      <c r="CI105" s="104">
        <v>0</v>
      </c>
      <c r="CJ105" s="104">
        <v>0</v>
      </c>
      <c r="CK105" s="104">
        <v>0</v>
      </c>
      <c r="CL105" s="104">
        <v>0</v>
      </c>
      <c r="CM105" s="104">
        <v>0</v>
      </c>
      <c r="CN105" s="104">
        <v>0</v>
      </c>
      <c r="CO105" s="106"/>
      <c r="CP105" s="165"/>
      <c r="CQ105" s="100"/>
      <c r="CR105" s="100"/>
      <c r="CS105" s="100"/>
      <c r="CT105" s="100"/>
      <c r="CU105" s="100"/>
      <c r="CV105" s="100"/>
      <c r="CW105" s="100"/>
      <c r="CX105" s="100"/>
      <c r="CY105" s="100"/>
      <c r="CZ105" s="100"/>
      <c r="DA105" s="200"/>
      <c r="DB105" s="168">
        <v>0</v>
      </c>
      <c r="DC105" s="104">
        <v>0</v>
      </c>
      <c r="DD105" s="104">
        <v>0</v>
      </c>
      <c r="DE105" s="104">
        <v>0</v>
      </c>
      <c r="DF105" s="104">
        <v>0</v>
      </c>
      <c r="DG105" s="104">
        <v>0</v>
      </c>
      <c r="DH105" s="104">
        <v>0</v>
      </c>
      <c r="DI105" s="104">
        <v>0</v>
      </c>
      <c r="DJ105" s="104">
        <v>0</v>
      </c>
      <c r="DK105" s="104">
        <v>0</v>
      </c>
      <c r="DL105" s="104">
        <v>0</v>
      </c>
      <c r="DM105" s="106"/>
      <c r="DN105" s="104">
        <f t="shared" si="573"/>
        <v>0</v>
      </c>
      <c r="DO105" s="100">
        <f t="shared" si="571"/>
        <v>0</v>
      </c>
      <c r="DP105" s="100">
        <f t="shared" si="571"/>
        <v>0</v>
      </c>
      <c r="DQ105" s="100">
        <f t="shared" si="571"/>
        <v>0</v>
      </c>
      <c r="DR105" s="100">
        <f t="shared" si="571"/>
        <v>0</v>
      </c>
      <c r="DS105" s="100">
        <f t="shared" si="571"/>
        <v>0</v>
      </c>
      <c r="DT105" s="100">
        <f t="shared" si="571"/>
        <v>0</v>
      </c>
      <c r="DU105" s="100">
        <f t="shared" si="571"/>
        <v>0</v>
      </c>
      <c r="DV105" s="100">
        <f t="shared" si="571"/>
        <v>0</v>
      </c>
      <c r="DW105" s="100">
        <f t="shared" si="571"/>
        <v>0</v>
      </c>
      <c r="DX105" s="100">
        <f t="shared" si="571"/>
        <v>0</v>
      </c>
      <c r="DY105" s="200">
        <f t="shared" si="571"/>
        <v>0</v>
      </c>
    </row>
    <row r="106" spans="1:129" s="38" customFormat="1" x14ac:dyDescent="0.25">
      <c r="A106" s="179" t="s">
        <v>39</v>
      </c>
      <c r="B106" s="168">
        <f>SUM(B101:B105)</f>
        <v>524968.94999999995</v>
      </c>
      <c r="C106" s="104">
        <f t="shared" ref="C106:CC106" si="574">SUM(C101:C105)</f>
        <v>483394.28999999992</v>
      </c>
      <c r="D106" s="104">
        <f t="shared" si="574"/>
        <v>301590.98</v>
      </c>
      <c r="E106" s="104">
        <f t="shared" si="574"/>
        <v>190612.71000000002</v>
      </c>
      <c r="F106" s="104">
        <f t="shared" si="574"/>
        <v>124018</v>
      </c>
      <c r="G106" s="104">
        <f t="shared" si="574"/>
        <v>102050.4</v>
      </c>
      <c r="H106" s="104">
        <f t="shared" si="574"/>
        <v>90721.48</v>
      </c>
      <c r="I106" s="104">
        <f t="shared" si="574"/>
        <v>94910.109999999986</v>
      </c>
      <c r="J106" s="104">
        <f t="shared" si="574"/>
        <v>139998.6</v>
      </c>
      <c r="K106" s="104">
        <f t="shared" si="574"/>
        <v>263127.8</v>
      </c>
      <c r="L106" s="168">
        <f t="shared" si="574"/>
        <v>405519.17999999993</v>
      </c>
      <c r="M106" s="104">
        <f t="shared" si="574"/>
        <v>457801.20999999996</v>
      </c>
      <c r="N106" s="104">
        <f t="shared" si="574"/>
        <v>405970.64999999997</v>
      </c>
      <c r="O106" s="104">
        <f t="shared" si="574"/>
        <v>326476.76</v>
      </c>
      <c r="P106" s="104">
        <f t="shared" si="574"/>
        <v>256487.62</v>
      </c>
      <c r="Q106" s="104">
        <f t="shared" si="574"/>
        <v>141252.69</v>
      </c>
      <c r="R106" s="104">
        <f t="shared" si="574"/>
        <v>106413.32</v>
      </c>
      <c r="S106" s="104">
        <f t="shared" si="574"/>
        <v>90039.72</v>
      </c>
      <c r="T106" s="104">
        <f t="shared" si="574"/>
        <v>95338.749999999985</v>
      </c>
      <c r="U106" s="104">
        <f t="shared" si="574"/>
        <v>106718.50000000001</v>
      </c>
      <c r="V106" s="104">
        <f t="shared" si="574"/>
        <v>124825.5</v>
      </c>
      <c r="W106" s="104">
        <f t="shared" si="574"/>
        <v>239031.82</v>
      </c>
      <c r="X106" s="168">
        <f t="shared" ref="X106:AG106" si="575">SUM(X101:X105)</f>
        <v>118998.29999999999</v>
      </c>
      <c r="Y106" s="104">
        <f t="shared" si="575"/>
        <v>156917.52999999997</v>
      </c>
      <c r="Z106" s="104">
        <f t="shared" si="575"/>
        <v>45103.360000000015</v>
      </c>
      <c r="AA106" s="104">
        <f t="shared" si="575"/>
        <v>49360.020000000004</v>
      </c>
      <c r="AB106" s="104">
        <f t="shared" si="575"/>
        <v>17604.679999999997</v>
      </c>
      <c r="AC106" s="104">
        <f t="shared" si="575"/>
        <v>12010.680000000002</v>
      </c>
      <c r="AD106" s="104">
        <f t="shared" si="575"/>
        <v>-4617.2700000000068</v>
      </c>
      <c r="AE106" s="104">
        <f t="shared" si="575"/>
        <v>-11808.390000000009</v>
      </c>
      <c r="AF106" s="104">
        <f t="shared" si="575"/>
        <v>15173.1</v>
      </c>
      <c r="AG106" s="106">
        <f t="shared" si="575"/>
        <v>24095.98</v>
      </c>
      <c r="AH106" s="168">
        <f>SUM(AH101:AH105)</f>
        <v>382006.93999999994</v>
      </c>
      <c r="AI106" s="104">
        <f t="shared" ref="AI106:AS106" si="576">SUM(AI101:AI105)</f>
        <v>256272.36</v>
      </c>
      <c r="AJ106" s="104">
        <f t="shared" si="576"/>
        <v>456856.05000000005</v>
      </c>
      <c r="AK106" s="104">
        <f t="shared" si="576"/>
        <v>320993.20999999996</v>
      </c>
      <c r="AL106" s="104">
        <f t="shared" si="576"/>
        <v>255993.34</v>
      </c>
      <c r="AM106" s="104">
        <f t="shared" si="576"/>
        <v>179115.75</v>
      </c>
      <c r="AN106" s="104">
        <f t="shared" si="576"/>
        <v>105683.40000000001</v>
      </c>
      <c r="AO106" s="104">
        <f t="shared" si="576"/>
        <v>103840.01</v>
      </c>
      <c r="AP106" s="104">
        <f t="shared" si="576"/>
        <v>94854.06</v>
      </c>
      <c r="AQ106" s="104">
        <f t="shared" si="576"/>
        <v>82062</v>
      </c>
      <c r="AR106" s="104">
        <f t="shared" si="576"/>
        <v>100321.48000000001</v>
      </c>
      <c r="AS106" s="106">
        <f t="shared" si="576"/>
        <v>315233.46000000002</v>
      </c>
      <c r="AT106" s="168">
        <f t="shared" ref="AT106:BE106" si="577">SUM(AT101:AT105)</f>
        <v>23512.240000000013</v>
      </c>
      <c r="AU106" s="104">
        <f t="shared" si="577"/>
        <v>201528.84999999998</v>
      </c>
      <c r="AV106" s="104">
        <f t="shared" si="577"/>
        <v>-50885.400000000023</v>
      </c>
      <c r="AW106" s="104">
        <f t="shared" si="577"/>
        <v>5483.5500000000211</v>
      </c>
      <c r="AX106" s="104">
        <f t="shared" si="577"/>
        <v>494.27999999998065</v>
      </c>
      <c r="AY106" s="104">
        <f t="shared" si="577"/>
        <v>-37863.059999999983</v>
      </c>
      <c r="AZ106" s="104">
        <f t="shared" si="577"/>
        <v>729.92000000000462</v>
      </c>
      <c r="BA106" s="104">
        <f t="shared" si="577"/>
        <v>-13800.290000000006</v>
      </c>
      <c r="BB106" s="104">
        <f t="shared" si="577"/>
        <v>484.68999999999403</v>
      </c>
      <c r="BC106" s="104">
        <f t="shared" si="577"/>
        <v>24656.5</v>
      </c>
      <c r="BD106" s="104">
        <f t="shared" si="577"/>
        <v>24504.020000000004</v>
      </c>
      <c r="BE106" s="106">
        <f t="shared" si="577"/>
        <v>-76201.64</v>
      </c>
      <c r="BF106" s="168">
        <f t="shared" ref="BF106:BI106" si="578">SUM(BF101:BF105)</f>
        <v>463021.04000000004</v>
      </c>
      <c r="BG106" s="104">
        <f t="shared" si="578"/>
        <v>536014.75</v>
      </c>
      <c r="BH106" s="104">
        <f t="shared" si="578"/>
        <v>783084.19</v>
      </c>
      <c r="BI106" s="104">
        <f t="shared" si="578"/>
        <v>462189.87</v>
      </c>
      <c r="BJ106" s="104">
        <v>400366.82</v>
      </c>
      <c r="BK106" s="104">
        <v>226567.29</v>
      </c>
      <c r="BL106" s="104">
        <v>154034.98000000001</v>
      </c>
      <c r="BM106" s="104">
        <v>139800.09</v>
      </c>
      <c r="BN106" s="104">
        <v>103996.73</v>
      </c>
      <c r="BO106" s="104">
        <v>122955.7</v>
      </c>
      <c r="BP106" s="104">
        <f>SUM(BP101:BP105)</f>
        <v>145260.20000000001</v>
      </c>
      <c r="BQ106" s="106">
        <f>SUM(BQ101:BQ105)</f>
        <v>378120.97</v>
      </c>
      <c r="BR106" s="168">
        <f t="shared" si="574"/>
        <v>-81014.100000000035</v>
      </c>
      <c r="BS106" s="104">
        <f t="shared" si="574"/>
        <v>-279742.39</v>
      </c>
      <c r="BT106" s="104">
        <f t="shared" si="574"/>
        <v>-326228.13999999996</v>
      </c>
      <c r="BU106" s="104">
        <f t="shared" si="574"/>
        <v>-141196.66000000003</v>
      </c>
      <c r="BV106" s="104">
        <f t="shared" si="574"/>
        <v>-144373.48000000001</v>
      </c>
      <c r="BW106" s="104">
        <f t="shared" si="574"/>
        <v>-47451.540000000008</v>
      </c>
      <c r="BX106" s="104">
        <f t="shared" si="574"/>
        <v>-48351.579999999994</v>
      </c>
      <c r="BY106" s="104">
        <f t="shared" si="574"/>
        <v>-35960.079999999987</v>
      </c>
      <c r="BZ106" s="104">
        <f t="shared" si="574"/>
        <v>-9142.6699999999983</v>
      </c>
      <c r="CA106" s="104">
        <f t="shared" si="574"/>
        <v>-40893.699999999997</v>
      </c>
      <c r="CB106" s="104">
        <f t="shared" si="574"/>
        <v>-44938.719999999994</v>
      </c>
      <c r="CC106" s="106">
        <f t="shared" si="574"/>
        <v>-62887.509999999995</v>
      </c>
      <c r="CD106" s="168">
        <f>SUM(CD101:CD105)</f>
        <v>659355.18000000005</v>
      </c>
      <c r="CE106" s="104">
        <f>SUM(CE101:CE104)</f>
        <v>536715.1</v>
      </c>
      <c r="CF106" s="104">
        <f>SUM(CF101:CF105)</f>
        <v>515972.36</v>
      </c>
      <c r="CG106" s="104">
        <f t="shared" ref="CG106:CN106" si="579">SUM(CG101:CG105)</f>
        <v>355044.45</v>
      </c>
      <c r="CH106" s="104">
        <f t="shared" si="579"/>
        <v>342062.22</v>
      </c>
      <c r="CI106" s="104">
        <f t="shared" si="579"/>
        <v>171645.72999999998</v>
      </c>
      <c r="CJ106" s="104">
        <f t="shared" si="579"/>
        <v>108022.04</v>
      </c>
      <c r="CK106" s="104">
        <f t="shared" si="579"/>
        <v>30607.010000000002</v>
      </c>
      <c r="CL106" s="104">
        <f t="shared" si="579"/>
        <v>93612.84</v>
      </c>
      <c r="CM106" s="104">
        <f t="shared" si="579"/>
        <v>48773.25</v>
      </c>
      <c r="CN106" s="104">
        <f t="shared" si="579"/>
        <v>94040.31</v>
      </c>
      <c r="CO106" s="106"/>
      <c r="CP106" s="168">
        <f t="shared" ref="CP106:DA106" si="580">CD106-BF106</f>
        <v>196334.14</v>
      </c>
      <c r="CQ106" s="104">
        <f t="shared" si="580"/>
        <v>700.34999999997672</v>
      </c>
      <c r="CR106" s="104">
        <f t="shared" si="580"/>
        <v>-267111.82999999996</v>
      </c>
      <c r="CS106" s="104">
        <f t="shared" si="580"/>
        <v>-107145.41999999998</v>
      </c>
      <c r="CT106" s="104">
        <f t="shared" si="580"/>
        <v>-58304.600000000035</v>
      </c>
      <c r="CU106" s="104">
        <f t="shared" si="580"/>
        <v>-54921.560000000027</v>
      </c>
      <c r="CV106" s="104">
        <f t="shared" si="580"/>
        <v>-46012.940000000017</v>
      </c>
      <c r="CW106" s="104">
        <f t="shared" si="580"/>
        <v>-109193.07999999999</v>
      </c>
      <c r="CX106" s="104">
        <f t="shared" si="580"/>
        <v>-10383.89</v>
      </c>
      <c r="CY106" s="104">
        <f t="shared" si="580"/>
        <v>-74182.45</v>
      </c>
      <c r="CZ106" s="104">
        <f t="shared" si="580"/>
        <v>-51219.890000000014</v>
      </c>
      <c r="DA106" s="106">
        <f t="shared" si="580"/>
        <v>-378120.97</v>
      </c>
      <c r="DB106" s="168">
        <f>SUM(DB101:DB105)</f>
        <v>233700.01</v>
      </c>
      <c r="DC106" s="104">
        <f>SUM(DC101:DC104)</f>
        <v>317925.44</v>
      </c>
      <c r="DD106" s="104">
        <f>SUM(DD101:DD105)</f>
        <v>300359.96000000002</v>
      </c>
      <c r="DE106" s="104">
        <f t="shared" ref="DE106:DM106" si="581">SUM(DE101:DE105)</f>
        <v>204067.35</v>
      </c>
      <c r="DF106" s="104">
        <f t="shared" si="581"/>
        <v>253942.64</v>
      </c>
      <c r="DG106" s="104">
        <v>146592.97</v>
      </c>
      <c r="DH106" s="104">
        <f t="shared" si="581"/>
        <v>99076.95</v>
      </c>
      <c r="DI106" s="104">
        <f t="shared" si="581"/>
        <v>101836.97</v>
      </c>
      <c r="DJ106" s="104">
        <f t="shared" si="581"/>
        <v>70860.11</v>
      </c>
      <c r="DK106" s="104">
        <f t="shared" si="581"/>
        <v>75562.48</v>
      </c>
      <c r="DL106" s="104">
        <f t="shared" si="581"/>
        <v>76349.58</v>
      </c>
      <c r="DM106" s="106">
        <f t="shared" si="581"/>
        <v>0</v>
      </c>
      <c r="DN106" s="168">
        <f>SUM(DN101:DN105)</f>
        <v>-425655.17000000004</v>
      </c>
      <c r="DO106" s="104">
        <f t="shared" ref="DO106:DY106" si="582">SUM(DO101:DO105)</f>
        <v>-218789.66</v>
      </c>
      <c r="DP106" s="104">
        <f t="shared" si="582"/>
        <v>-215612.39999999994</v>
      </c>
      <c r="DQ106" s="104">
        <f t="shared" si="582"/>
        <v>-150977.1</v>
      </c>
      <c r="DR106" s="104">
        <f t="shared" si="582"/>
        <v>-88119.579999999973</v>
      </c>
      <c r="DS106" s="104">
        <f t="shared" si="582"/>
        <v>-25052.76</v>
      </c>
      <c r="DT106" s="104">
        <f t="shared" si="582"/>
        <v>-8945.09</v>
      </c>
      <c r="DU106" s="104">
        <f t="shared" si="582"/>
        <v>71229.960000000006</v>
      </c>
      <c r="DV106" s="104">
        <f t="shared" si="582"/>
        <v>-22752.730000000007</v>
      </c>
      <c r="DW106" s="104">
        <f t="shared" si="582"/>
        <v>26789.229999999996</v>
      </c>
      <c r="DX106" s="104">
        <f t="shared" si="582"/>
        <v>-17690.729999999996</v>
      </c>
      <c r="DY106" s="106">
        <f t="shared" si="582"/>
        <v>0</v>
      </c>
    </row>
    <row r="107" spans="1:129" x14ac:dyDescent="0.25">
      <c r="A107" s="180" t="s">
        <v>30</v>
      </c>
      <c r="B107" s="170"/>
      <c r="C107" s="44"/>
      <c r="D107" s="44"/>
      <c r="E107" s="44"/>
      <c r="F107" s="44"/>
      <c r="G107" s="104"/>
      <c r="H107" s="44"/>
      <c r="I107" s="44"/>
      <c r="J107" s="44"/>
      <c r="K107" s="44"/>
      <c r="L107" s="170"/>
      <c r="M107" s="44"/>
      <c r="N107" s="44"/>
      <c r="O107" s="44"/>
      <c r="P107" s="44"/>
      <c r="Q107" s="104"/>
      <c r="R107" s="44"/>
      <c r="S107" s="44"/>
      <c r="T107" s="44"/>
      <c r="U107" s="44"/>
      <c r="V107" s="44"/>
      <c r="W107" s="44"/>
      <c r="X107" s="170"/>
      <c r="Y107" s="44"/>
      <c r="Z107" s="44"/>
      <c r="AA107" s="104"/>
      <c r="AB107" s="44"/>
      <c r="AC107" s="44"/>
      <c r="AD107" s="44"/>
      <c r="AE107" s="44"/>
      <c r="AF107" s="44"/>
      <c r="AG107" s="97"/>
      <c r="AH107" s="170"/>
      <c r="AI107" s="44"/>
      <c r="AJ107" s="44"/>
      <c r="AK107" s="44"/>
      <c r="AL107" s="44"/>
      <c r="AM107" s="104"/>
      <c r="AN107" s="44"/>
      <c r="AO107" s="44"/>
      <c r="AP107" s="44"/>
      <c r="AQ107" s="44"/>
      <c r="AR107" s="44"/>
      <c r="AS107" s="97"/>
      <c r="AT107" s="170"/>
      <c r="AU107" s="44"/>
      <c r="AV107" s="44"/>
      <c r="AW107" s="44"/>
      <c r="AX107" s="44"/>
      <c r="AY107" s="104"/>
      <c r="AZ107" s="44"/>
      <c r="BA107" s="44"/>
      <c r="BB107" s="44"/>
      <c r="BC107" s="44"/>
      <c r="BD107" s="44"/>
      <c r="BE107" s="97"/>
      <c r="BF107" s="170"/>
      <c r="BG107" s="44"/>
      <c r="BH107" s="44"/>
      <c r="BI107" s="44"/>
      <c r="BJ107" s="44"/>
      <c r="BK107" s="104"/>
      <c r="BL107" s="44"/>
      <c r="BM107" s="44"/>
      <c r="BN107" s="44"/>
      <c r="BO107" s="44"/>
      <c r="BP107" s="44"/>
      <c r="BQ107" s="97"/>
      <c r="BR107" s="170"/>
      <c r="BS107" s="44"/>
      <c r="BT107" s="44"/>
      <c r="BU107" s="44"/>
      <c r="BV107" s="44"/>
      <c r="BW107" s="104"/>
      <c r="BX107" s="44"/>
      <c r="BY107" s="44"/>
      <c r="BZ107" s="44"/>
      <c r="CA107" s="44"/>
      <c r="CB107" s="44"/>
      <c r="CC107" s="97"/>
      <c r="CD107" s="170"/>
      <c r="CE107" s="44"/>
      <c r="CF107" s="44"/>
      <c r="CG107" s="44"/>
      <c r="CH107" s="44"/>
      <c r="CI107" s="104"/>
      <c r="CJ107" s="44"/>
      <c r="CK107" s="44"/>
      <c r="CL107" s="44"/>
      <c r="CM107" s="44"/>
      <c r="CN107" s="44"/>
      <c r="CO107" s="97"/>
      <c r="CP107" s="170"/>
      <c r="CQ107" s="44"/>
      <c r="CR107" s="44"/>
      <c r="CS107" s="104"/>
      <c r="CT107" s="44"/>
      <c r="CU107" s="44"/>
      <c r="CV107" s="44"/>
      <c r="CW107" s="44"/>
      <c r="CX107" s="44"/>
      <c r="CY107" s="44"/>
      <c r="CZ107" s="44"/>
      <c r="DA107" s="97"/>
      <c r="DB107" s="170"/>
      <c r="DC107" s="44"/>
      <c r="DD107" s="44"/>
      <c r="DE107" s="44"/>
      <c r="DF107" s="44"/>
      <c r="DG107" s="104"/>
      <c r="DH107" s="44"/>
      <c r="DI107" s="44"/>
      <c r="DJ107" s="44"/>
      <c r="DK107" s="44"/>
      <c r="DL107" s="44"/>
      <c r="DM107" s="97"/>
      <c r="DN107" s="170"/>
      <c r="DO107" s="44"/>
      <c r="DP107" s="44"/>
      <c r="DQ107" s="104"/>
      <c r="DR107" s="44"/>
      <c r="DS107" s="44"/>
      <c r="DT107" s="44"/>
      <c r="DU107" s="44"/>
      <c r="DV107" s="44"/>
      <c r="DW107" s="44"/>
      <c r="DX107" s="44"/>
      <c r="DY107" s="97"/>
    </row>
    <row r="108" spans="1:129" x14ac:dyDescent="0.25">
      <c r="A108" s="181" t="s">
        <v>34</v>
      </c>
      <c r="B108" s="165">
        <v>0</v>
      </c>
      <c r="C108" s="100">
        <v>0</v>
      </c>
      <c r="D108" s="100">
        <v>0</v>
      </c>
      <c r="E108" s="100">
        <v>0</v>
      </c>
      <c r="F108" s="100">
        <v>0</v>
      </c>
      <c r="G108" s="100">
        <v>0</v>
      </c>
      <c r="H108" s="100">
        <v>0</v>
      </c>
      <c r="I108" s="100">
        <v>0</v>
      </c>
      <c r="J108" s="100">
        <v>0</v>
      </c>
      <c r="K108" s="100">
        <v>0</v>
      </c>
      <c r="L108" s="165">
        <v>0</v>
      </c>
      <c r="M108" s="100">
        <v>0</v>
      </c>
      <c r="N108" s="100">
        <v>0</v>
      </c>
      <c r="O108" s="100">
        <v>0</v>
      </c>
      <c r="P108" s="100">
        <v>0</v>
      </c>
      <c r="Q108" s="100">
        <v>0</v>
      </c>
      <c r="R108" s="100">
        <v>0</v>
      </c>
      <c r="S108" s="100">
        <v>0</v>
      </c>
      <c r="T108" s="100">
        <v>0</v>
      </c>
      <c r="U108" s="100">
        <v>0</v>
      </c>
      <c r="V108" s="100">
        <v>0</v>
      </c>
      <c r="W108" s="100">
        <v>0</v>
      </c>
      <c r="X108" s="165">
        <f t="shared" ref="X108:AG112" si="583">B108-N108</f>
        <v>0</v>
      </c>
      <c r="Y108" s="100">
        <f t="shared" si="583"/>
        <v>0</v>
      </c>
      <c r="Z108" s="100">
        <f t="shared" si="583"/>
        <v>0</v>
      </c>
      <c r="AA108" s="100">
        <f t="shared" si="583"/>
        <v>0</v>
      </c>
      <c r="AB108" s="100">
        <f t="shared" si="583"/>
        <v>0</v>
      </c>
      <c r="AC108" s="100">
        <f t="shared" si="583"/>
        <v>0</v>
      </c>
      <c r="AD108" s="100">
        <f t="shared" si="583"/>
        <v>0</v>
      </c>
      <c r="AE108" s="100">
        <f t="shared" si="583"/>
        <v>0</v>
      </c>
      <c r="AF108" s="100">
        <f t="shared" si="583"/>
        <v>0</v>
      </c>
      <c r="AG108" s="200">
        <f t="shared" si="583"/>
        <v>0</v>
      </c>
      <c r="AH108" s="165">
        <v>0</v>
      </c>
      <c r="AI108" s="100">
        <v>0</v>
      </c>
      <c r="AJ108" s="100">
        <v>0</v>
      </c>
      <c r="AK108" s="100">
        <v>0</v>
      </c>
      <c r="AL108" s="100">
        <v>0</v>
      </c>
      <c r="AM108" s="100">
        <v>0</v>
      </c>
      <c r="AN108" s="100">
        <v>0</v>
      </c>
      <c r="AO108" s="100">
        <v>0</v>
      </c>
      <c r="AP108" s="100">
        <v>0</v>
      </c>
      <c r="AQ108" s="100">
        <v>0</v>
      </c>
      <c r="AR108" s="100">
        <v>0</v>
      </c>
      <c r="AS108" s="200">
        <v>0</v>
      </c>
      <c r="AT108" s="165">
        <f>L108-AH108</f>
        <v>0</v>
      </c>
      <c r="AU108" s="100">
        <f t="shared" ref="AU108:BE112" si="584">M108-AI108</f>
        <v>0</v>
      </c>
      <c r="AV108" s="100">
        <f t="shared" si="584"/>
        <v>0</v>
      </c>
      <c r="AW108" s="100">
        <f t="shared" si="584"/>
        <v>0</v>
      </c>
      <c r="AX108" s="100">
        <f t="shared" si="584"/>
        <v>0</v>
      </c>
      <c r="AY108" s="100">
        <f t="shared" si="584"/>
        <v>0</v>
      </c>
      <c r="AZ108" s="100">
        <f t="shared" si="584"/>
        <v>0</v>
      </c>
      <c r="BA108" s="100">
        <f t="shared" si="584"/>
        <v>0</v>
      </c>
      <c r="BB108" s="100">
        <f t="shared" si="584"/>
        <v>0</v>
      </c>
      <c r="BC108" s="100">
        <f t="shared" si="584"/>
        <v>0</v>
      </c>
      <c r="BD108" s="100">
        <f t="shared" si="584"/>
        <v>0</v>
      </c>
      <c r="BE108" s="200">
        <f t="shared" si="584"/>
        <v>0</v>
      </c>
      <c r="BF108" s="165">
        <v>0</v>
      </c>
      <c r="BG108" s="100">
        <v>0</v>
      </c>
      <c r="BH108" s="100">
        <v>0</v>
      </c>
      <c r="BI108" s="100">
        <v>0</v>
      </c>
      <c r="BJ108" s="100">
        <v>0</v>
      </c>
      <c r="BK108" s="100">
        <v>0</v>
      </c>
      <c r="BL108" s="100">
        <v>0</v>
      </c>
      <c r="BM108" s="100">
        <v>0</v>
      </c>
      <c r="BN108" s="100">
        <v>0</v>
      </c>
      <c r="BO108" s="100">
        <v>0</v>
      </c>
      <c r="BP108" s="100">
        <v>0</v>
      </c>
      <c r="BQ108" s="200">
        <v>0</v>
      </c>
      <c r="BR108" s="165">
        <f>AH108-BF108</f>
        <v>0</v>
      </c>
      <c r="BS108" s="100">
        <f t="shared" ref="BS108:BS112" si="585">AI108-BG108</f>
        <v>0</v>
      </c>
      <c r="BT108" s="100">
        <f t="shared" ref="BT108:BT112" si="586">AJ108-BH108</f>
        <v>0</v>
      </c>
      <c r="BU108" s="100">
        <f t="shared" ref="BU108:BU112" si="587">AK108-BI108</f>
        <v>0</v>
      </c>
      <c r="BV108" s="100">
        <f t="shared" ref="BV108:BV112" si="588">AL108-BJ108</f>
        <v>0</v>
      </c>
      <c r="BW108" s="100">
        <f t="shared" ref="BW108:BW112" si="589">AM108-BK108</f>
        <v>0</v>
      </c>
      <c r="BX108" s="100">
        <f t="shared" ref="BX108:BX112" si="590">AN108-BL108</f>
        <v>0</v>
      </c>
      <c r="BY108" s="100">
        <f t="shared" ref="BY108:BY112" si="591">AO108-BM108</f>
        <v>0</v>
      </c>
      <c r="BZ108" s="100">
        <f t="shared" ref="BZ108:BZ112" si="592">AP108-BN108</f>
        <v>0</v>
      </c>
      <c r="CA108" s="100">
        <f t="shared" ref="CA108:CA112" si="593">AQ108-BO108</f>
        <v>0</v>
      </c>
      <c r="CB108" s="100">
        <f t="shared" ref="CB108:CB112" si="594">AR108-BP108</f>
        <v>0</v>
      </c>
      <c r="CC108" s="200">
        <f t="shared" ref="CC108:CC112" si="595">AS108-BQ108</f>
        <v>0</v>
      </c>
      <c r="CD108" s="165">
        <v>0</v>
      </c>
      <c r="CE108" s="100">
        <v>0</v>
      </c>
      <c r="CF108" s="100">
        <v>0</v>
      </c>
      <c r="CG108" s="100">
        <v>0</v>
      </c>
      <c r="CH108" s="100">
        <v>0</v>
      </c>
      <c r="CI108" s="100">
        <v>0</v>
      </c>
      <c r="CJ108" s="100">
        <v>0</v>
      </c>
      <c r="CK108" s="100">
        <v>0</v>
      </c>
      <c r="CL108" s="100">
        <v>0</v>
      </c>
      <c r="CM108" s="100">
        <v>717</v>
      </c>
      <c r="CN108" s="100">
        <v>1471</v>
      </c>
      <c r="CO108" s="200"/>
      <c r="CP108" s="165">
        <f>BF108-CD108</f>
        <v>0</v>
      </c>
      <c r="CQ108" s="100">
        <f t="shared" ref="CQ108:DA112" si="596">BG108-CE108</f>
        <v>0</v>
      </c>
      <c r="CR108" s="100">
        <f t="shared" si="596"/>
        <v>0</v>
      </c>
      <c r="CS108" s="100">
        <f t="shared" si="596"/>
        <v>0</v>
      </c>
      <c r="CT108" s="100">
        <f t="shared" si="596"/>
        <v>0</v>
      </c>
      <c r="CU108" s="100">
        <f t="shared" si="596"/>
        <v>0</v>
      </c>
      <c r="CV108" s="100">
        <f t="shared" si="596"/>
        <v>0</v>
      </c>
      <c r="CW108" s="100">
        <f t="shared" si="596"/>
        <v>0</v>
      </c>
      <c r="CX108" s="100">
        <f t="shared" si="596"/>
        <v>0</v>
      </c>
      <c r="CY108" s="100">
        <f t="shared" si="596"/>
        <v>-717</v>
      </c>
      <c r="CZ108" s="100">
        <f t="shared" si="596"/>
        <v>-1471</v>
      </c>
      <c r="DA108" s="200">
        <f t="shared" si="596"/>
        <v>0</v>
      </c>
      <c r="DB108" s="165">
        <v>1341</v>
      </c>
      <c r="DC108" s="100">
        <v>1322</v>
      </c>
      <c r="DD108" s="100">
        <v>1400</v>
      </c>
      <c r="DE108" s="100">
        <v>1456</v>
      </c>
      <c r="DF108" s="100">
        <v>1547</v>
      </c>
      <c r="DG108" s="100">
        <v>1508</v>
      </c>
      <c r="DH108" s="100">
        <v>1399</v>
      </c>
      <c r="DI108" s="100">
        <v>1430</v>
      </c>
      <c r="DJ108" s="100">
        <v>1311</v>
      </c>
      <c r="DK108" s="100">
        <v>1459</v>
      </c>
      <c r="DL108" s="100">
        <v>1287</v>
      </c>
      <c r="DM108" s="200"/>
      <c r="DN108" s="165">
        <f>DB108-CD108</f>
        <v>1341</v>
      </c>
      <c r="DO108" s="100">
        <f t="shared" ref="DO108:DY112" si="597">DC108-CE108</f>
        <v>1322</v>
      </c>
      <c r="DP108" s="100">
        <f t="shared" si="597"/>
        <v>1400</v>
      </c>
      <c r="DQ108" s="100">
        <f t="shared" si="597"/>
        <v>1456</v>
      </c>
      <c r="DR108" s="100">
        <f t="shared" si="597"/>
        <v>1547</v>
      </c>
      <c r="DS108" s="100">
        <f t="shared" si="597"/>
        <v>1508</v>
      </c>
      <c r="DT108" s="100">
        <f t="shared" si="597"/>
        <v>1399</v>
      </c>
      <c r="DU108" s="100">
        <f t="shared" si="597"/>
        <v>1430</v>
      </c>
      <c r="DV108" s="100">
        <f t="shared" si="597"/>
        <v>1311</v>
      </c>
      <c r="DW108" s="100">
        <f t="shared" si="597"/>
        <v>742</v>
      </c>
      <c r="DX108" s="100">
        <f t="shared" si="597"/>
        <v>-184</v>
      </c>
      <c r="DY108" s="200">
        <f t="shared" si="597"/>
        <v>0</v>
      </c>
    </row>
    <row r="109" spans="1:129" x14ac:dyDescent="0.25">
      <c r="A109" s="181" t="s">
        <v>35</v>
      </c>
      <c r="B109" s="165">
        <v>0</v>
      </c>
      <c r="C109" s="100">
        <v>0</v>
      </c>
      <c r="D109" s="100">
        <v>0</v>
      </c>
      <c r="E109" s="100">
        <v>0</v>
      </c>
      <c r="F109" s="100">
        <v>0</v>
      </c>
      <c r="G109" s="100">
        <v>0</v>
      </c>
      <c r="H109" s="100">
        <v>0</v>
      </c>
      <c r="I109" s="100">
        <v>0</v>
      </c>
      <c r="J109" s="100">
        <v>0</v>
      </c>
      <c r="K109" s="100">
        <v>0</v>
      </c>
      <c r="L109" s="165">
        <v>0</v>
      </c>
      <c r="M109" s="100">
        <v>0</v>
      </c>
      <c r="N109" s="100">
        <v>0</v>
      </c>
      <c r="O109" s="100">
        <v>0</v>
      </c>
      <c r="P109" s="100">
        <v>0</v>
      </c>
      <c r="Q109" s="100">
        <v>0</v>
      </c>
      <c r="R109" s="100">
        <v>0</v>
      </c>
      <c r="S109" s="100">
        <v>0</v>
      </c>
      <c r="T109" s="100">
        <v>0</v>
      </c>
      <c r="U109" s="100">
        <v>0</v>
      </c>
      <c r="V109" s="100">
        <v>0</v>
      </c>
      <c r="W109" s="100">
        <v>0</v>
      </c>
      <c r="X109" s="165">
        <f t="shared" si="583"/>
        <v>0</v>
      </c>
      <c r="Y109" s="100">
        <f t="shared" si="583"/>
        <v>0</v>
      </c>
      <c r="Z109" s="100">
        <f t="shared" si="583"/>
        <v>0</v>
      </c>
      <c r="AA109" s="100">
        <f t="shared" si="583"/>
        <v>0</v>
      </c>
      <c r="AB109" s="100">
        <f t="shared" si="583"/>
        <v>0</v>
      </c>
      <c r="AC109" s="100">
        <f t="shared" si="583"/>
        <v>0</v>
      </c>
      <c r="AD109" s="100">
        <f t="shared" si="583"/>
        <v>0</v>
      </c>
      <c r="AE109" s="100">
        <f t="shared" si="583"/>
        <v>0</v>
      </c>
      <c r="AF109" s="100">
        <f t="shared" si="583"/>
        <v>0</v>
      </c>
      <c r="AG109" s="200">
        <f t="shared" si="583"/>
        <v>0</v>
      </c>
      <c r="AH109" s="165">
        <v>0</v>
      </c>
      <c r="AI109" s="100">
        <v>0</v>
      </c>
      <c r="AJ109" s="100">
        <v>0</v>
      </c>
      <c r="AK109" s="100">
        <v>0</v>
      </c>
      <c r="AL109" s="100">
        <v>0</v>
      </c>
      <c r="AM109" s="100">
        <v>0</v>
      </c>
      <c r="AN109" s="100">
        <v>0</v>
      </c>
      <c r="AO109" s="100">
        <v>0</v>
      </c>
      <c r="AP109" s="100">
        <v>0</v>
      </c>
      <c r="AQ109" s="100">
        <v>0</v>
      </c>
      <c r="AR109" s="100">
        <v>0</v>
      </c>
      <c r="AS109" s="200">
        <v>0</v>
      </c>
      <c r="AT109" s="165">
        <f t="shared" ref="AT109:AT112" si="598">L109-AH109</f>
        <v>0</v>
      </c>
      <c r="AU109" s="100">
        <f t="shared" si="584"/>
        <v>0</v>
      </c>
      <c r="AV109" s="100">
        <f t="shared" si="584"/>
        <v>0</v>
      </c>
      <c r="AW109" s="100">
        <f t="shared" si="584"/>
        <v>0</v>
      </c>
      <c r="AX109" s="100">
        <f t="shared" si="584"/>
        <v>0</v>
      </c>
      <c r="AY109" s="100">
        <f t="shared" si="584"/>
        <v>0</v>
      </c>
      <c r="AZ109" s="100">
        <f t="shared" si="584"/>
        <v>0</v>
      </c>
      <c r="BA109" s="100">
        <f t="shared" si="584"/>
        <v>0</v>
      </c>
      <c r="BB109" s="100">
        <f t="shared" si="584"/>
        <v>0</v>
      </c>
      <c r="BC109" s="100">
        <f t="shared" si="584"/>
        <v>0</v>
      </c>
      <c r="BD109" s="100">
        <f t="shared" si="584"/>
        <v>0</v>
      </c>
      <c r="BE109" s="200">
        <f t="shared" si="584"/>
        <v>0</v>
      </c>
      <c r="BF109" s="165">
        <v>0</v>
      </c>
      <c r="BG109" s="100">
        <v>0</v>
      </c>
      <c r="BH109" s="100">
        <v>0</v>
      </c>
      <c r="BI109" s="100">
        <v>0</v>
      </c>
      <c r="BJ109" s="100">
        <v>0</v>
      </c>
      <c r="BK109" s="100">
        <v>0</v>
      </c>
      <c r="BL109" s="100">
        <v>0</v>
      </c>
      <c r="BM109" s="100">
        <v>0</v>
      </c>
      <c r="BN109" s="100">
        <v>0</v>
      </c>
      <c r="BO109" s="100">
        <v>0</v>
      </c>
      <c r="BP109" s="100">
        <v>0</v>
      </c>
      <c r="BQ109" s="200">
        <v>0</v>
      </c>
      <c r="BR109" s="165">
        <f t="shared" ref="BR109:BR112" si="599">AH109-BF109</f>
        <v>0</v>
      </c>
      <c r="BS109" s="100">
        <f t="shared" si="585"/>
        <v>0</v>
      </c>
      <c r="BT109" s="100">
        <f t="shared" si="586"/>
        <v>0</v>
      </c>
      <c r="BU109" s="100">
        <f t="shared" si="587"/>
        <v>0</v>
      </c>
      <c r="BV109" s="100">
        <f t="shared" si="588"/>
        <v>0</v>
      </c>
      <c r="BW109" s="100">
        <f t="shared" si="589"/>
        <v>0</v>
      </c>
      <c r="BX109" s="100">
        <f t="shared" si="590"/>
        <v>0</v>
      </c>
      <c r="BY109" s="100">
        <f t="shared" si="591"/>
        <v>0</v>
      </c>
      <c r="BZ109" s="100">
        <f t="shared" si="592"/>
        <v>0</v>
      </c>
      <c r="CA109" s="100">
        <f t="shared" si="593"/>
        <v>0</v>
      </c>
      <c r="CB109" s="100">
        <f t="shared" si="594"/>
        <v>0</v>
      </c>
      <c r="CC109" s="200">
        <f t="shared" si="595"/>
        <v>0</v>
      </c>
      <c r="CD109" s="165">
        <v>0</v>
      </c>
      <c r="CE109" s="100">
        <v>0</v>
      </c>
      <c r="CF109" s="100">
        <v>0</v>
      </c>
      <c r="CG109" s="100">
        <v>0</v>
      </c>
      <c r="CH109" s="100">
        <v>0</v>
      </c>
      <c r="CI109" s="100">
        <v>0</v>
      </c>
      <c r="CJ109" s="100">
        <v>0</v>
      </c>
      <c r="CK109" s="100">
        <v>0</v>
      </c>
      <c r="CL109" s="100">
        <v>0</v>
      </c>
      <c r="CM109" s="100">
        <v>0</v>
      </c>
      <c r="CN109" s="100">
        <v>0</v>
      </c>
      <c r="CO109" s="200"/>
      <c r="CP109" s="165">
        <f t="shared" ref="CP109:CP112" si="600">BF109-CD109</f>
        <v>0</v>
      </c>
      <c r="CQ109" s="100">
        <f t="shared" si="596"/>
        <v>0</v>
      </c>
      <c r="CR109" s="100">
        <f t="shared" si="596"/>
        <v>0</v>
      </c>
      <c r="CS109" s="100">
        <f t="shared" si="596"/>
        <v>0</v>
      </c>
      <c r="CT109" s="100">
        <f t="shared" si="596"/>
        <v>0</v>
      </c>
      <c r="CU109" s="100">
        <f t="shared" si="596"/>
        <v>0</v>
      </c>
      <c r="CV109" s="100">
        <f t="shared" si="596"/>
        <v>0</v>
      </c>
      <c r="CW109" s="100">
        <f t="shared" si="596"/>
        <v>0</v>
      </c>
      <c r="CX109" s="100">
        <f t="shared" si="596"/>
        <v>0</v>
      </c>
      <c r="CY109" s="100">
        <f t="shared" si="596"/>
        <v>0</v>
      </c>
      <c r="CZ109" s="100">
        <f t="shared" si="596"/>
        <v>0</v>
      </c>
      <c r="DA109" s="200">
        <f t="shared" si="596"/>
        <v>0</v>
      </c>
      <c r="DB109" s="165">
        <v>0</v>
      </c>
      <c r="DC109" s="100">
        <v>0</v>
      </c>
      <c r="DD109" s="100">
        <v>0</v>
      </c>
      <c r="DE109" s="100">
        <v>0</v>
      </c>
      <c r="DF109" s="100">
        <v>0</v>
      </c>
      <c r="DG109" s="100">
        <v>0</v>
      </c>
      <c r="DH109" s="100">
        <v>0</v>
      </c>
      <c r="DI109" s="100">
        <v>0</v>
      </c>
      <c r="DJ109" s="100">
        <v>0</v>
      </c>
      <c r="DK109" s="100">
        <v>0</v>
      </c>
      <c r="DL109" s="100">
        <v>0</v>
      </c>
      <c r="DM109" s="200"/>
      <c r="DN109" s="165">
        <f t="shared" ref="DN109:DN112" si="601">DB109-CD109</f>
        <v>0</v>
      </c>
      <c r="DO109" s="100">
        <f t="shared" si="597"/>
        <v>0</v>
      </c>
      <c r="DP109" s="100">
        <f t="shared" si="597"/>
        <v>0</v>
      </c>
      <c r="DQ109" s="100">
        <f t="shared" si="597"/>
        <v>0</v>
      </c>
      <c r="DR109" s="100">
        <f t="shared" si="597"/>
        <v>0</v>
      </c>
      <c r="DS109" s="100">
        <f t="shared" si="597"/>
        <v>0</v>
      </c>
      <c r="DT109" s="100">
        <f t="shared" si="597"/>
        <v>0</v>
      </c>
      <c r="DU109" s="100">
        <f t="shared" si="597"/>
        <v>0</v>
      </c>
      <c r="DV109" s="100">
        <f t="shared" si="597"/>
        <v>0</v>
      </c>
      <c r="DW109" s="100">
        <f t="shared" si="597"/>
        <v>0</v>
      </c>
      <c r="DX109" s="100">
        <f t="shared" si="597"/>
        <v>0</v>
      </c>
      <c r="DY109" s="200">
        <f t="shared" si="597"/>
        <v>0</v>
      </c>
    </row>
    <row r="110" spans="1:129" x14ac:dyDescent="0.25">
      <c r="A110" s="181" t="s">
        <v>36</v>
      </c>
      <c r="B110" s="165">
        <v>0</v>
      </c>
      <c r="C110" s="100">
        <v>0</v>
      </c>
      <c r="D110" s="100">
        <v>0</v>
      </c>
      <c r="E110" s="100">
        <v>0</v>
      </c>
      <c r="F110" s="100">
        <v>0</v>
      </c>
      <c r="G110" s="100">
        <v>0</v>
      </c>
      <c r="H110" s="100">
        <v>0</v>
      </c>
      <c r="I110" s="100">
        <v>0</v>
      </c>
      <c r="J110" s="100">
        <v>0</v>
      </c>
      <c r="K110" s="100">
        <v>0</v>
      </c>
      <c r="L110" s="165">
        <v>0</v>
      </c>
      <c r="M110" s="100">
        <v>0</v>
      </c>
      <c r="N110" s="100">
        <v>0</v>
      </c>
      <c r="O110" s="100">
        <v>0</v>
      </c>
      <c r="P110" s="100">
        <v>0</v>
      </c>
      <c r="Q110" s="100">
        <v>0</v>
      </c>
      <c r="R110" s="100">
        <v>0</v>
      </c>
      <c r="S110" s="100">
        <v>0</v>
      </c>
      <c r="T110" s="100">
        <v>0</v>
      </c>
      <c r="U110" s="100">
        <v>0</v>
      </c>
      <c r="V110" s="100">
        <v>0</v>
      </c>
      <c r="W110" s="100">
        <v>0</v>
      </c>
      <c r="X110" s="165">
        <f t="shared" si="583"/>
        <v>0</v>
      </c>
      <c r="Y110" s="100">
        <f t="shared" si="583"/>
        <v>0</v>
      </c>
      <c r="Z110" s="100">
        <f t="shared" si="583"/>
        <v>0</v>
      </c>
      <c r="AA110" s="100">
        <f t="shared" si="583"/>
        <v>0</v>
      </c>
      <c r="AB110" s="100">
        <f t="shared" si="583"/>
        <v>0</v>
      </c>
      <c r="AC110" s="100">
        <f t="shared" si="583"/>
        <v>0</v>
      </c>
      <c r="AD110" s="100">
        <f t="shared" si="583"/>
        <v>0</v>
      </c>
      <c r="AE110" s="100">
        <f t="shared" si="583"/>
        <v>0</v>
      </c>
      <c r="AF110" s="100">
        <f t="shared" si="583"/>
        <v>0</v>
      </c>
      <c r="AG110" s="200">
        <f t="shared" si="583"/>
        <v>0</v>
      </c>
      <c r="AH110" s="165">
        <v>0</v>
      </c>
      <c r="AI110" s="100">
        <v>0</v>
      </c>
      <c r="AJ110" s="100">
        <v>0</v>
      </c>
      <c r="AK110" s="100">
        <v>0</v>
      </c>
      <c r="AL110" s="100">
        <v>0</v>
      </c>
      <c r="AM110" s="100">
        <v>0</v>
      </c>
      <c r="AN110" s="100">
        <v>0</v>
      </c>
      <c r="AO110" s="100">
        <v>0</v>
      </c>
      <c r="AP110" s="100">
        <v>0</v>
      </c>
      <c r="AQ110" s="100">
        <v>0</v>
      </c>
      <c r="AR110" s="100">
        <v>0</v>
      </c>
      <c r="AS110" s="200">
        <v>0</v>
      </c>
      <c r="AT110" s="165">
        <f t="shared" si="598"/>
        <v>0</v>
      </c>
      <c r="AU110" s="100">
        <f t="shared" si="584"/>
        <v>0</v>
      </c>
      <c r="AV110" s="100">
        <f t="shared" si="584"/>
        <v>0</v>
      </c>
      <c r="AW110" s="100">
        <f t="shared" si="584"/>
        <v>0</v>
      </c>
      <c r="AX110" s="100">
        <f t="shared" si="584"/>
        <v>0</v>
      </c>
      <c r="AY110" s="100">
        <f t="shared" si="584"/>
        <v>0</v>
      </c>
      <c r="AZ110" s="100">
        <f t="shared" si="584"/>
        <v>0</v>
      </c>
      <c r="BA110" s="100">
        <f t="shared" si="584"/>
        <v>0</v>
      </c>
      <c r="BB110" s="100">
        <f t="shared" si="584"/>
        <v>0</v>
      </c>
      <c r="BC110" s="100">
        <f t="shared" si="584"/>
        <v>0</v>
      </c>
      <c r="BD110" s="100">
        <f t="shared" si="584"/>
        <v>0</v>
      </c>
      <c r="BE110" s="200">
        <f t="shared" si="584"/>
        <v>0</v>
      </c>
      <c r="BF110" s="165">
        <v>0</v>
      </c>
      <c r="BG110" s="100">
        <v>0</v>
      </c>
      <c r="BH110" s="100">
        <v>0</v>
      </c>
      <c r="BI110" s="100">
        <v>0</v>
      </c>
      <c r="BJ110" s="100">
        <v>0</v>
      </c>
      <c r="BK110" s="100">
        <v>0</v>
      </c>
      <c r="BL110" s="100">
        <v>0</v>
      </c>
      <c r="BM110" s="100">
        <v>0</v>
      </c>
      <c r="BN110" s="100">
        <v>0</v>
      </c>
      <c r="BO110" s="100">
        <v>0</v>
      </c>
      <c r="BP110" s="100">
        <v>0</v>
      </c>
      <c r="BQ110" s="200">
        <v>0</v>
      </c>
      <c r="BR110" s="165">
        <f t="shared" si="599"/>
        <v>0</v>
      </c>
      <c r="BS110" s="100">
        <f t="shared" si="585"/>
        <v>0</v>
      </c>
      <c r="BT110" s="100">
        <f t="shared" si="586"/>
        <v>0</v>
      </c>
      <c r="BU110" s="100">
        <f t="shared" si="587"/>
        <v>0</v>
      </c>
      <c r="BV110" s="100">
        <f t="shared" si="588"/>
        <v>0</v>
      </c>
      <c r="BW110" s="100">
        <f t="shared" si="589"/>
        <v>0</v>
      </c>
      <c r="BX110" s="100">
        <f t="shared" si="590"/>
        <v>0</v>
      </c>
      <c r="BY110" s="100">
        <f t="shared" si="591"/>
        <v>0</v>
      </c>
      <c r="BZ110" s="100">
        <f t="shared" si="592"/>
        <v>0</v>
      </c>
      <c r="CA110" s="100">
        <f t="shared" si="593"/>
        <v>0</v>
      </c>
      <c r="CB110" s="100">
        <f t="shared" si="594"/>
        <v>0</v>
      </c>
      <c r="CC110" s="200">
        <f t="shared" si="595"/>
        <v>0</v>
      </c>
      <c r="CD110" s="165">
        <v>0</v>
      </c>
      <c r="CE110" s="100">
        <v>0</v>
      </c>
      <c r="CF110" s="100">
        <v>0</v>
      </c>
      <c r="CG110" s="100">
        <v>0</v>
      </c>
      <c r="CH110" s="100">
        <v>0</v>
      </c>
      <c r="CI110" s="100">
        <v>0</v>
      </c>
      <c r="CJ110" s="100">
        <v>0</v>
      </c>
      <c r="CK110" s="100">
        <v>0</v>
      </c>
      <c r="CL110" s="100">
        <v>0</v>
      </c>
      <c r="CM110" s="100">
        <v>0</v>
      </c>
      <c r="CN110" s="100">
        <v>0</v>
      </c>
      <c r="CO110" s="200"/>
      <c r="CP110" s="165">
        <f t="shared" si="600"/>
        <v>0</v>
      </c>
      <c r="CQ110" s="100">
        <f t="shared" si="596"/>
        <v>0</v>
      </c>
      <c r="CR110" s="100">
        <f t="shared" si="596"/>
        <v>0</v>
      </c>
      <c r="CS110" s="100">
        <f t="shared" si="596"/>
        <v>0</v>
      </c>
      <c r="CT110" s="100">
        <f t="shared" si="596"/>
        <v>0</v>
      </c>
      <c r="CU110" s="100">
        <f t="shared" si="596"/>
        <v>0</v>
      </c>
      <c r="CV110" s="100">
        <f t="shared" si="596"/>
        <v>0</v>
      </c>
      <c r="CW110" s="100">
        <f t="shared" si="596"/>
        <v>0</v>
      </c>
      <c r="CX110" s="100">
        <f t="shared" si="596"/>
        <v>0</v>
      </c>
      <c r="CY110" s="100">
        <f t="shared" si="596"/>
        <v>0</v>
      </c>
      <c r="CZ110" s="100">
        <f t="shared" si="596"/>
        <v>0</v>
      </c>
      <c r="DA110" s="200">
        <f t="shared" si="596"/>
        <v>0</v>
      </c>
      <c r="DB110" s="165">
        <v>0</v>
      </c>
      <c r="DC110" s="100">
        <v>0</v>
      </c>
      <c r="DD110" s="100">
        <v>0</v>
      </c>
      <c r="DE110" s="100">
        <v>0</v>
      </c>
      <c r="DF110" s="100">
        <v>0</v>
      </c>
      <c r="DG110" s="100">
        <v>0</v>
      </c>
      <c r="DH110" s="100">
        <v>0</v>
      </c>
      <c r="DI110" s="100">
        <v>0</v>
      </c>
      <c r="DJ110" s="100">
        <v>0</v>
      </c>
      <c r="DK110" s="100">
        <v>0</v>
      </c>
      <c r="DL110" s="100">
        <v>0</v>
      </c>
      <c r="DM110" s="200"/>
      <c r="DN110" s="165">
        <f t="shared" si="601"/>
        <v>0</v>
      </c>
      <c r="DO110" s="100">
        <f t="shared" si="597"/>
        <v>0</v>
      </c>
      <c r="DP110" s="100">
        <f t="shared" si="597"/>
        <v>0</v>
      </c>
      <c r="DQ110" s="100">
        <f t="shared" si="597"/>
        <v>0</v>
      </c>
      <c r="DR110" s="100">
        <f t="shared" si="597"/>
        <v>0</v>
      </c>
      <c r="DS110" s="100">
        <f t="shared" si="597"/>
        <v>0</v>
      </c>
      <c r="DT110" s="100">
        <f t="shared" si="597"/>
        <v>0</v>
      </c>
      <c r="DU110" s="100">
        <f t="shared" si="597"/>
        <v>0</v>
      </c>
      <c r="DV110" s="100">
        <f t="shared" si="597"/>
        <v>0</v>
      </c>
      <c r="DW110" s="100">
        <f t="shared" si="597"/>
        <v>0</v>
      </c>
      <c r="DX110" s="100">
        <f t="shared" si="597"/>
        <v>0</v>
      </c>
      <c r="DY110" s="200">
        <f t="shared" si="597"/>
        <v>0</v>
      </c>
    </row>
    <row r="111" spans="1:129" x14ac:dyDescent="0.25">
      <c r="A111" s="181" t="s">
        <v>37</v>
      </c>
      <c r="B111" s="165">
        <v>0</v>
      </c>
      <c r="C111" s="100">
        <v>0</v>
      </c>
      <c r="D111" s="100">
        <v>0</v>
      </c>
      <c r="E111" s="100">
        <v>0</v>
      </c>
      <c r="F111" s="100">
        <v>0</v>
      </c>
      <c r="G111" s="100">
        <v>0</v>
      </c>
      <c r="H111" s="100">
        <v>0</v>
      </c>
      <c r="I111" s="100">
        <v>0</v>
      </c>
      <c r="J111" s="100">
        <v>0</v>
      </c>
      <c r="K111" s="100">
        <v>0</v>
      </c>
      <c r="L111" s="165">
        <v>0</v>
      </c>
      <c r="M111" s="100">
        <v>0</v>
      </c>
      <c r="N111" s="100">
        <v>0</v>
      </c>
      <c r="O111" s="100">
        <v>0</v>
      </c>
      <c r="P111" s="100">
        <v>0</v>
      </c>
      <c r="Q111" s="100">
        <v>0</v>
      </c>
      <c r="R111" s="100">
        <v>0</v>
      </c>
      <c r="S111" s="100">
        <v>0</v>
      </c>
      <c r="T111" s="100">
        <v>0</v>
      </c>
      <c r="U111" s="100">
        <v>0</v>
      </c>
      <c r="V111" s="100">
        <v>0</v>
      </c>
      <c r="W111" s="100">
        <v>0</v>
      </c>
      <c r="X111" s="165">
        <f t="shared" si="583"/>
        <v>0</v>
      </c>
      <c r="Y111" s="100">
        <f t="shared" si="583"/>
        <v>0</v>
      </c>
      <c r="Z111" s="100">
        <f t="shared" si="583"/>
        <v>0</v>
      </c>
      <c r="AA111" s="100">
        <f t="shared" si="583"/>
        <v>0</v>
      </c>
      <c r="AB111" s="100">
        <f t="shared" si="583"/>
        <v>0</v>
      </c>
      <c r="AC111" s="100">
        <f t="shared" si="583"/>
        <v>0</v>
      </c>
      <c r="AD111" s="100">
        <f t="shared" si="583"/>
        <v>0</v>
      </c>
      <c r="AE111" s="100">
        <f t="shared" si="583"/>
        <v>0</v>
      </c>
      <c r="AF111" s="100">
        <f t="shared" si="583"/>
        <v>0</v>
      </c>
      <c r="AG111" s="200">
        <f t="shared" si="583"/>
        <v>0</v>
      </c>
      <c r="AH111" s="165">
        <v>0</v>
      </c>
      <c r="AI111" s="100">
        <v>0</v>
      </c>
      <c r="AJ111" s="100">
        <v>0</v>
      </c>
      <c r="AK111" s="100">
        <v>0</v>
      </c>
      <c r="AL111" s="100">
        <v>0</v>
      </c>
      <c r="AM111" s="100">
        <v>0</v>
      </c>
      <c r="AN111" s="100">
        <v>0</v>
      </c>
      <c r="AO111" s="100">
        <v>0</v>
      </c>
      <c r="AP111" s="100">
        <v>0</v>
      </c>
      <c r="AQ111" s="100">
        <v>0</v>
      </c>
      <c r="AR111" s="100">
        <v>0</v>
      </c>
      <c r="AS111" s="200">
        <v>0</v>
      </c>
      <c r="AT111" s="165">
        <f t="shared" si="598"/>
        <v>0</v>
      </c>
      <c r="AU111" s="100">
        <f t="shared" si="584"/>
        <v>0</v>
      </c>
      <c r="AV111" s="100">
        <f t="shared" si="584"/>
        <v>0</v>
      </c>
      <c r="AW111" s="100">
        <f t="shared" si="584"/>
        <v>0</v>
      </c>
      <c r="AX111" s="100">
        <f t="shared" si="584"/>
        <v>0</v>
      </c>
      <c r="AY111" s="100">
        <f t="shared" si="584"/>
        <v>0</v>
      </c>
      <c r="AZ111" s="100">
        <f t="shared" si="584"/>
        <v>0</v>
      </c>
      <c r="BA111" s="100">
        <f t="shared" si="584"/>
        <v>0</v>
      </c>
      <c r="BB111" s="100">
        <f t="shared" si="584"/>
        <v>0</v>
      </c>
      <c r="BC111" s="100">
        <f t="shared" si="584"/>
        <v>0</v>
      </c>
      <c r="BD111" s="100">
        <f t="shared" si="584"/>
        <v>0</v>
      </c>
      <c r="BE111" s="200">
        <f t="shared" si="584"/>
        <v>0</v>
      </c>
      <c r="BF111" s="165">
        <v>0</v>
      </c>
      <c r="BG111" s="100">
        <v>0</v>
      </c>
      <c r="BH111" s="100">
        <v>0</v>
      </c>
      <c r="BI111" s="100">
        <v>0</v>
      </c>
      <c r="BJ111" s="100">
        <v>0</v>
      </c>
      <c r="BK111" s="100">
        <v>0</v>
      </c>
      <c r="BL111" s="100">
        <v>0</v>
      </c>
      <c r="BM111" s="100">
        <v>0</v>
      </c>
      <c r="BN111" s="100">
        <v>0</v>
      </c>
      <c r="BO111" s="100">
        <v>0</v>
      </c>
      <c r="BP111" s="100">
        <v>0</v>
      </c>
      <c r="BQ111" s="200">
        <v>0</v>
      </c>
      <c r="BR111" s="165">
        <f t="shared" si="599"/>
        <v>0</v>
      </c>
      <c r="BS111" s="100">
        <f t="shared" si="585"/>
        <v>0</v>
      </c>
      <c r="BT111" s="100">
        <f t="shared" si="586"/>
        <v>0</v>
      </c>
      <c r="BU111" s="100">
        <f t="shared" si="587"/>
        <v>0</v>
      </c>
      <c r="BV111" s="100">
        <f t="shared" si="588"/>
        <v>0</v>
      </c>
      <c r="BW111" s="100">
        <f t="shared" si="589"/>
        <v>0</v>
      </c>
      <c r="BX111" s="100">
        <f t="shared" si="590"/>
        <v>0</v>
      </c>
      <c r="BY111" s="100">
        <f t="shared" si="591"/>
        <v>0</v>
      </c>
      <c r="BZ111" s="100">
        <f t="shared" si="592"/>
        <v>0</v>
      </c>
      <c r="CA111" s="100">
        <f t="shared" si="593"/>
        <v>0</v>
      </c>
      <c r="CB111" s="100">
        <f t="shared" si="594"/>
        <v>0</v>
      </c>
      <c r="CC111" s="200">
        <f t="shared" si="595"/>
        <v>0</v>
      </c>
      <c r="CD111" s="165">
        <v>0</v>
      </c>
      <c r="CE111" s="100">
        <v>0</v>
      </c>
      <c r="CF111" s="100">
        <v>0</v>
      </c>
      <c r="CG111" s="100">
        <v>0</v>
      </c>
      <c r="CH111" s="100">
        <v>0</v>
      </c>
      <c r="CI111" s="100">
        <v>0</v>
      </c>
      <c r="CJ111" s="100">
        <v>0</v>
      </c>
      <c r="CK111" s="100">
        <v>0</v>
      </c>
      <c r="CL111" s="100">
        <v>0</v>
      </c>
      <c r="CM111" s="100">
        <v>0</v>
      </c>
      <c r="CN111" s="100">
        <v>0</v>
      </c>
      <c r="CO111" s="200"/>
      <c r="CP111" s="165">
        <f t="shared" si="600"/>
        <v>0</v>
      </c>
      <c r="CQ111" s="100">
        <f t="shared" si="596"/>
        <v>0</v>
      </c>
      <c r="CR111" s="100">
        <f t="shared" si="596"/>
        <v>0</v>
      </c>
      <c r="CS111" s="100">
        <f t="shared" si="596"/>
        <v>0</v>
      </c>
      <c r="CT111" s="100">
        <f t="shared" si="596"/>
        <v>0</v>
      </c>
      <c r="CU111" s="100">
        <f t="shared" si="596"/>
        <v>0</v>
      </c>
      <c r="CV111" s="100">
        <f t="shared" si="596"/>
        <v>0</v>
      </c>
      <c r="CW111" s="100">
        <f t="shared" si="596"/>
        <v>0</v>
      </c>
      <c r="CX111" s="100">
        <f t="shared" si="596"/>
        <v>0</v>
      </c>
      <c r="CY111" s="100">
        <f t="shared" si="596"/>
        <v>0</v>
      </c>
      <c r="CZ111" s="100">
        <f t="shared" si="596"/>
        <v>0</v>
      </c>
      <c r="DA111" s="200">
        <f t="shared" si="596"/>
        <v>0</v>
      </c>
      <c r="DB111" s="165">
        <v>0</v>
      </c>
      <c r="DC111" s="100">
        <v>0</v>
      </c>
      <c r="DD111" s="100">
        <v>0</v>
      </c>
      <c r="DE111" s="100">
        <v>0</v>
      </c>
      <c r="DF111" s="100">
        <v>0</v>
      </c>
      <c r="DG111" s="100">
        <v>0</v>
      </c>
      <c r="DH111" s="100">
        <v>0</v>
      </c>
      <c r="DI111" s="100">
        <v>0</v>
      </c>
      <c r="DJ111" s="100">
        <v>0</v>
      </c>
      <c r="DK111" s="100">
        <v>0</v>
      </c>
      <c r="DL111" s="100">
        <v>0</v>
      </c>
      <c r="DM111" s="200"/>
      <c r="DN111" s="165">
        <f t="shared" si="601"/>
        <v>0</v>
      </c>
      <c r="DO111" s="100">
        <f t="shared" si="597"/>
        <v>0</v>
      </c>
      <c r="DP111" s="100">
        <f t="shared" si="597"/>
        <v>0</v>
      </c>
      <c r="DQ111" s="100">
        <f t="shared" si="597"/>
        <v>0</v>
      </c>
      <c r="DR111" s="100">
        <f t="shared" si="597"/>
        <v>0</v>
      </c>
      <c r="DS111" s="100">
        <f t="shared" si="597"/>
        <v>0</v>
      </c>
      <c r="DT111" s="100">
        <f t="shared" si="597"/>
        <v>0</v>
      </c>
      <c r="DU111" s="100">
        <f t="shared" si="597"/>
        <v>0</v>
      </c>
      <c r="DV111" s="100">
        <f t="shared" si="597"/>
        <v>0</v>
      </c>
      <c r="DW111" s="100">
        <f t="shared" si="597"/>
        <v>0</v>
      </c>
      <c r="DX111" s="100">
        <f t="shared" si="597"/>
        <v>0</v>
      </c>
      <c r="DY111" s="200">
        <f t="shared" si="597"/>
        <v>0</v>
      </c>
    </row>
    <row r="112" spans="1:129" x14ac:dyDescent="0.25">
      <c r="A112" s="181" t="s">
        <v>38</v>
      </c>
      <c r="B112" s="165">
        <v>0</v>
      </c>
      <c r="C112" s="100">
        <v>0</v>
      </c>
      <c r="D112" s="100">
        <v>0</v>
      </c>
      <c r="E112" s="100">
        <v>0</v>
      </c>
      <c r="F112" s="100">
        <v>0</v>
      </c>
      <c r="G112" s="100">
        <v>0</v>
      </c>
      <c r="H112" s="100">
        <v>0</v>
      </c>
      <c r="I112" s="100">
        <v>0</v>
      </c>
      <c r="J112" s="100">
        <v>0</v>
      </c>
      <c r="K112" s="100">
        <v>0</v>
      </c>
      <c r="L112" s="165">
        <v>0</v>
      </c>
      <c r="M112" s="100">
        <v>0</v>
      </c>
      <c r="N112" s="100">
        <v>0</v>
      </c>
      <c r="O112" s="100">
        <v>0</v>
      </c>
      <c r="P112" s="100">
        <v>0</v>
      </c>
      <c r="Q112" s="100">
        <v>0</v>
      </c>
      <c r="R112" s="100">
        <v>0</v>
      </c>
      <c r="S112" s="100">
        <v>0</v>
      </c>
      <c r="T112" s="100">
        <v>0</v>
      </c>
      <c r="U112" s="100">
        <v>0</v>
      </c>
      <c r="V112" s="100">
        <v>0</v>
      </c>
      <c r="W112" s="100">
        <v>0</v>
      </c>
      <c r="X112" s="165">
        <f t="shared" si="583"/>
        <v>0</v>
      </c>
      <c r="Y112" s="100">
        <f t="shared" si="583"/>
        <v>0</v>
      </c>
      <c r="Z112" s="100">
        <f t="shared" si="583"/>
        <v>0</v>
      </c>
      <c r="AA112" s="100">
        <f t="shared" si="583"/>
        <v>0</v>
      </c>
      <c r="AB112" s="100">
        <f t="shared" si="583"/>
        <v>0</v>
      </c>
      <c r="AC112" s="100">
        <f t="shared" si="583"/>
        <v>0</v>
      </c>
      <c r="AD112" s="100">
        <f t="shared" si="583"/>
        <v>0</v>
      </c>
      <c r="AE112" s="100">
        <f t="shared" si="583"/>
        <v>0</v>
      </c>
      <c r="AF112" s="100">
        <f t="shared" si="583"/>
        <v>0</v>
      </c>
      <c r="AG112" s="200">
        <f t="shared" si="583"/>
        <v>0</v>
      </c>
      <c r="AH112" s="165">
        <v>0</v>
      </c>
      <c r="AI112" s="100">
        <v>0</v>
      </c>
      <c r="AJ112" s="100">
        <v>0</v>
      </c>
      <c r="AK112" s="100">
        <v>0</v>
      </c>
      <c r="AL112" s="100">
        <v>0</v>
      </c>
      <c r="AM112" s="100">
        <v>0</v>
      </c>
      <c r="AN112" s="100">
        <v>0</v>
      </c>
      <c r="AO112" s="100">
        <v>0</v>
      </c>
      <c r="AP112" s="100">
        <v>0</v>
      </c>
      <c r="AQ112" s="100">
        <v>0</v>
      </c>
      <c r="AR112" s="100">
        <v>0</v>
      </c>
      <c r="AS112" s="200">
        <v>0</v>
      </c>
      <c r="AT112" s="165">
        <f t="shared" si="598"/>
        <v>0</v>
      </c>
      <c r="AU112" s="100">
        <f t="shared" si="584"/>
        <v>0</v>
      </c>
      <c r="AV112" s="100">
        <f t="shared" si="584"/>
        <v>0</v>
      </c>
      <c r="AW112" s="100">
        <f t="shared" si="584"/>
        <v>0</v>
      </c>
      <c r="AX112" s="100">
        <f t="shared" si="584"/>
        <v>0</v>
      </c>
      <c r="AY112" s="100">
        <f t="shared" si="584"/>
        <v>0</v>
      </c>
      <c r="AZ112" s="100">
        <f t="shared" si="584"/>
        <v>0</v>
      </c>
      <c r="BA112" s="100">
        <f t="shared" si="584"/>
        <v>0</v>
      </c>
      <c r="BB112" s="100">
        <f t="shared" si="584"/>
        <v>0</v>
      </c>
      <c r="BC112" s="100">
        <f t="shared" si="584"/>
        <v>0</v>
      </c>
      <c r="BD112" s="100">
        <f t="shared" si="584"/>
        <v>0</v>
      </c>
      <c r="BE112" s="200">
        <f t="shared" si="584"/>
        <v>0</v>
      </c>
      <c r="BF112" s="165">
        <v>0</v>
      </c>
      <c r="BG112" s="100">
        <v>0</v>
      </c>
      <c r="BH112" s="100">
        <v>0</v>
      </c>
      <c r="BI112" s="100">
        <v>0</v>
      </c>
      <c r="BJ112" s="100">
        <v>0</v>
      </c>
      <c r="BK112" s="100">
        <v>0</v>
      </c>
      <c r="BL112" s="100">
        <v>0</v>
      </c>
      <c r="BM112" s="100">
        <v>0</v>
      </c>
      <c r="BN112" s="100">
        <v>0</v>
      </c>
      <c r="BO112" s="100">
        <v>0</v>
      </c>
      <c r="BP112" s="100">
        <v>0</v>
      </c>
      <c r="BQ112" s="200">
        <v>0</v>
      </c>
      <c r="BR112" s="165">
        <f t="shared" si="599"/>
        <v>0</v>
      </c>
      <c r="BS112" s="100">
        <f t="shared" si="585"/>
        <v>0</v>
      </c>
      <c r="BT112" s="100">
        <f t="shared" si="586"/>
        <v>0</v>
      </c>
      <c r="BU112" s="100">
        <f t="shared" si="587"/>
        <v>0</v>
      </c>
      <c r="BV112" s="100">
        <f t="shared" si="588"/>
        <v>0</v>
      </c>
      <c r="BW112" s="100">
        <f t="shared" si="589"/>
        <v>0</v>
      </c>
      <c r="BX112" s="100">
        <f t="shared" si="590"/>
        <v>0</v>
      </c>
      <c r="BY112" s="100">
        <f t="shared" si="591"/>
        <v>0</v>
      </c>
      <c r="BZ112" s="100">
        <f t="shared" si="592"/>
        <v>0</v>
      </c>
      <c r="CA112" s="100">
        <f t="shared" si="593"/>
        <v>0</v>
      </c>
      <c r="CB112" s="100">
        <f t="shared" si="594"/>
        <v>0</v>
      </c>
      <c r="CC112" s="200">
        <f t="shared" si="595"/>
        <v>0</v>
      </c>
      <c r="CD112" s="165">
        <v>0</v>
      </c>
      <c r="CE112" s="100">
        <v>0</v>
      </c>
      <c r="CF112" s="100">
        <v>0</v>
      </c>
      <c r="CG112" s="100">
        <v>0</v>
      </c>
      <c r="CH112" s="100">
        <v>0</v>
      </c>
      <c r="CI112" s="100">
        <v>0</v>
      </c>
      <c r="CJ112" s="100">
        <v>0</v>
      </c>
      <c r="CK112" s="100">
        <v>0</v>
      </c>
      <c r="CL112" s="100">
        <v>0</v>
      </c>
      <c r="CM112" s="100">
        <v>0</v>
      </c>
      <c r="CN112" s="100">
        <v>0</v>
      </c>
      <c r="CO112" s="200"/>
      <c r="CP112" s="165">
        <f t="shared" si="600"/>
        <v>0</v>
      </c>
      <c r="CQ112" s="100">
        <f t="shared" si="596"/>
        <v>0</v>
      </c>
      <c r="CR112" s="100">
        <f t="shared" si="596"/>
        <v>0</v>
      </c>
      <c r="CS112" s="100">
        <f t="shared" si="596"/>
        <v>0</v>
      </c>
      <c r="CT112" s="100">
        <f t="shared" si="596"/>
        <v>0</v>
      </c>
      <c r="CU112" s="100">
        <f t="shared" si="596"/>
        <v>0</v>
      </c>
      <c r="CV112" s="100">
        <f t="shared" si="596"/>
        <v>0</v>
      </c>
      <c r="CW112" s="100">
        <f t="shared" si="596"/>
        <v>0</v>
      </c>
      <c r="CX112" s="100">
        <f t="shared" si="596"/>
        <v>0</v>
      </c>
      <c r="CY112" s="100">
        <f t="shared" si="596"/>
        <v>0</v>
      </c>
      <c r="CZ112" s="100">
        <f t="shared" si="596"/>
        <v>0</v>
      </c>
      <c r="DA112" s="200">
        <f t="shared" si="596"/>
        <v>0</v>
      </c>
      <c r="DB112" s="165">
        <v>0</v>
      </c>
      <c r="DC112" s="100">
        <v>0</v>
      </c>
      <c r="DD112" s="100">
        <v>0</v>
      </c>
      <c r="DE112" s="100">
        <v>0</v>
      </c>
      <c r="DF112" s="100">
        <v>0</v>
      </c>
      <c r="DG112" s="100">
        <v>0</v>
      </c>
      <c r="DH112" s="100">
        <v>0</v>
      </c>
      <c r="DI112" s="100">
        <v>0</v>
      </c>
      <c r="DJ112" s="100">
        <v>0</v>
      </c>
      <c r="DK112" s="100">
        <v>0</v>
      </c>
      <c r="DL112" s="100">
        <v>0</v>
      </c>
      <c r="DM112" s="200"/>
      <c r="DN112" s="165">
        <f t="shared" si="601"/>
        <v>0</v>
      </c>
      <c r="DO112" s="100">
        <f t="shared" si="597"/>
        <v>0</v>
      </c>
      <c r="DP112" s="100">
        <f t="shared" si="597"/>
        <v>0</v>
      </c>
      <c r="DQ112" s="100">
        <f t="shared" si="597"/>
        <v>0</v>
      </c>
      <c r="DR112" s="100">
        <f t="shared" si="597"/>
        <v>0</v>
      </c>
      <c r="DS112" s="100">
        <f t="shared" si="597"/>
        <v>0</v>
      </c>
      <c r="DT112" s="100">
        <f t="shared" si="597"/>
        <v>0</v>
      </c>
      <c r="DU112" s="100">
        <f t="shared" si="597"/>
        <v>0</v>
      </c>
      <c r="DV112" s="100">
        <f t="shared" si="597"/>
        <v>0</v>
      </c>
      <c r="DW112" s="100">
        <f t="shared" si="597"/>
        <v>0</v>
      </c>
      <c r="DX112" s="100">
        <f t="shared" si="597"/>
        <v>0</v>
      </c>
      <c r="DY112" s="200">
        <f t="shared" si="597"/>
        <v>0</v>
      </c>
    </row>
    <row r="113" spans="1:129" ht="15.75" thickBot="1" x14ac:dyDescent="0.3">
      <c r="A113" s="182" t="s">
        <v>39</v>
      </c>
      <c r="B113" s="165">
        <f>SUM(B108:B112)</f>
        <v>0</v>
      </c>
      <c r="C113" s="100">
        <f t="shared" ref="C113:K113" si="602">SUM(C108:C112)</f>
        <v>0</v>
      </c>
      <c r="D113" s="100">
        <f t="shared" si="602"/>
        <v>0</v>
      </c>
      <c r="E113" s="100">
        <f t="shared" si="602"/>
        <v>0</v>
      </c>
      <c r="F113" s="100">
        <f t="shared" si="602"/>
        <v>0</v>
      </c>
      <c r="G113" s="100">
        <f t="shared" si="602"/>
        <v>0</v>
      </c>
      <c r="H113" s="100">
        <f t="shared" si="602"/>
        <v>0</v>
      </c>
      <c r="I113" s="100">
        <f t="shared" si="602"/>
        <v>0</v>
      </c>
      <c r="J113" s="100">
        <f t="shared" si="602"/>
        <v>0</v>
      </c>
      <c r="K113" s="100">
        <f t="shared" si="602"/>
        <v>0</v>
      </c>
      <c r="L113" s="165">
        <f>SUM(L108:L112)</f>
        <v>0</v>
      </c>
      <c r="M113" s="100">
        <f t="shared" ref="M113:W113" si="603">SUM(M108:M112)</f>
        <v>0</v>
      </c>
      <c r="N113" s="100">
        <f t="shared" si="603"/>
        <v>0</v>
      </c>
      <c r="O113" s="100">
        <f t="shared" si="603"/>
        <v>0</v>
      </c>
      <c r="P113" s="100">
        <f t="shared" si="603"/>
        <v>0</v>
      </c>
      <c r="Q113" s="100">
        <f t="shared" si="603"/>
        <v>0</v>
      </c>
      <c r="R113" s="100">
        <f t="shared" si="603"/>
        <v>0</v>
      </c>
      <c r="S113" s="100">
        <f t="shared" si="603"/>
        <v>0</v>
      </c>
      <c r="T113" s="100">
        <f t="shared" si="603"/>
        <v>0</v>
      </c>
      <c r="U113" s="100">
        <f t="shared" si="603"/>
        <v>0</v>
      </c>
      <c r="V113" s="100">
        <f t="shared" si="603"/>
        <v>0</v>
      </c>
      <c r="W113" s="102">
        <f t="shared" si="603"/>
        <v>0</v>
      </c>
      <c r="X113" s="165">
        <f t="shared" ref="X113" si="604">SUM(X108:X112)</f>
        <v>0</v>
      </c>
      <c r="Y113" s="100">
        <f t="shared" ref="Y113" si="605">SUM(Y108:Y112)</f>
        <v>0</v>
      </c>
      <c r="Z113" s="100">
        <f t="shared" ref="Z113" si="606">SUM(Z108:Z112)</f>
        <v>0</v>
      </c>
      <c r="AA113" s="100">
        <f t="shared" ref="AA113" si="607">SUM(AA108:AA112)</f>
        <v>0</v>
      </c>
      <c r="AB113" s="100">
        <f t="shared" ref="AB113" si="608">SUM(AB108:AB112)</f>
        <v>0</v>
      </c>
      <c r="AC113" s="100">
        <f t="shared" ref="AC113" si="609">SUM(AC108:AC112)</f>
        <v>0</v>
      </c>
      <c r="AD113" s="100">
        <f t="shared" ref="AD113" si="610">SUM(AD108:AD112)</f>
        <v>0</v>
      </c>
      <c r="AE113" s="100">
        <f t="shared" ref="AE113" si="611">SUM(AE108:AE112)</f>
        <v>0</v>
      </c>
      <c r="AF113" s="100">
        <f t="shared" ref="AF113" si="612">SUM(AF108:AF112)</f>
        <v>0</v>
      </c>
      <c r="AG113" s="202">
        <f t="shared" ref="AG113" si="613">SUM(AG108:AG112)</f>
        <v>0</v>
      </c>
      <c r="AH113" s="165">
        <f>SUM(AH108:AH112)</f>
        <v>0</v>
      </c>
      <c r="AI113" s="100">
        <f t="shared" ref="AI113:AS113" si="614">SUM(AI108:AI112)</f>
        <v>0</v>
      </c>
      <c r="AJ113" s="100">
        <f t="shared" si="614"/>
        <v>0</v>
      </c>
      <c r="AK113" s="100">
        <f t="shared" si="614"/>
        <v>0</v>
      </c>
      <c r="AL113" s="100">
        <f t="shared" si="614"/>
        <v>0</v>
      </c>
      <c r="AM113" s="100">
        <f t="shared" si="614"/>
        <v>0</v>
      </c>
      <c r="AN113" s="100">
        <f t="shared" si="614"/>
        <v>0</v>
      </c>
      <c r="AO113" s="100">
        <f t="shared" si="614"/>
        <v>0</v>
      </c>
      <c r="AP113" s="100">
        <f t="shared" si="614"/>
        <v>0</v>
      </c>
      <c r="AQ113" s="100">
        <f t="shared" si="614"/>
        <v>0</v>
      </c>
      <c r="AR113" s="100">
        <f t="shared" si="614"/>
        <v>0</v>
      </c>
      <c r="AS113" s="202">
        <f t="shared" si="614"/>
        <v>0</v>
      </c>
      <c r="AT113" s="165">
        <f>SUM(AT108:AT112)</f>
        <v>0</v>
      </c>
      <c r="AU113" s="100">
        <f t="shared" ref="AU113" si="615">SUM(AU108:AU112)</f>
        <v>0</v>
      </c>
      <c r="AV113" s="100">
        <f t="shared" ref="AV113" si="616">SUM(AV108:AV112)</f>
        <v>0</v>
      </c>
      <c r="AW113" s="100">
        <f t="shared" ref="AW113" si="617">SUM(AW108:AW112)</f>
        <v>0</v>
      </c>
      <c r="AX113" s="100">
        <f t="shared" ref="AX113" si="618">SUM(AX108:AX112)</f>
        <v>0</v>
      </c>
      <c r="AY113" s="100">
        <f t="shared" ref="AY113" si="619">SUM(AY108:AY112)</f>
        <v>0</v>
      </c>
      <c r="AZ113" s="100">
        <f t="shared" ref="AZ113" si="620">SUM(AZ108:AZ112)</f>
        <v>0</v>
      </c>
      <c r="BA113" s="100">
        <f t="shared" ref="BA113" si="621">SUM(BA108:BA112)</f>
        <v>0</v>
      </c>
      <c r="BB113" s="100">
        <f t="shared" ref="BB113" si="622">SUM(BB108:BB112)</f>
        <v>0</v>
      </c>
      <c r="BC113" s="100">
        <f t="shared" ref="BC113" si="623">SUM(BC108:BC112)</f>
        <v>0</v>
      </c>
      <c r="BD113" s="100">
        <f t="shared" ref="BD113" si="624">SUM(BD108:BD112)</f>
        <v>0</v>
      </c>
      <c r="BE113" s="202">
        <f t="shared" ref="BE113" si="625">SUM(BE108:BE112)</f>
        <v>0</v>
      </c>
      <c r="BF113" s="165">
        <f>SUM(BF108:BF112)</f>
        <v>0</v>
      </c>
      <c r="BG113" s="100">
        <f t="shared" ref="BG113:BQ113" si="626">SUM(BG108:BG112)</f>
        <v>0</v>
      </c>
      <c r="BH113" s="100">
        <f t="shared" si="626"/>
        <v>0</v>
      </c>
      <c r="BI113" s="100">
        <f t="shared" si="626"/>
        <v>0</v>
      </c>
      <c r="BJ113" s="100">
        <f t="shared" si="626"/>
        <v>0</v>
      </c>
      <c r="BK113" s="100">
        <f t="shared" si="626"/>
        <v>0</v>
      </c>
      <c r="BL113" s="100">
        <f t="shared" si="626"/>
        <v>0</v>
      </c>
      <c r="BM113" s="100">
        <f t="shared" si="626"/>
        <v>0</v>
      </c>
      <c r="BN113" s="100">
        <f t="shared" si="626"/>
        <v>0</v>
      </c>
      <c r="BO113" s="100">
        <f t="shared" si="626"/>
        <v>0</v>
      </c>
      <c r="BP113" s="100">
        <f t="shared" si="626"/>
        <v>0</v>
      </c>
      <c r="BQ113" s="202">
        <f t="shared" si="626"/>
        <v>0</v>
      </c>
      <c r="BR113" s="165">
        <f>SUM(BR108:BR112)</f>
        <v>0</v>
      </c>
      <c r="BS113" s="100">
        <f t="shared" ref="BS113:CL113" si="627">SUM(BS108:BS112)</f>
        <v>0</v>
      </c>
      <c r="BT113" s="100">
        <f t="shared" si="627"/>
        <v>0</v>
      </c>
      <c r="BU113" s="100">
        <f t="shared" si="627"/>
        <v>0</v>
      </c>
      <c r="BV113" s="100">
        <f t="shared" si="627"/>
        <v>0</v>
      </c>
      <c r="BW113" s="100">
        <f t="shared" si="627"/>
        <v>0</v>
      </c>
      <c r="BX113" s="100">
        <f t="shared" si="627"/>
        <v>0</v>
      </c>
      <c r="BY113" s="100">
        <f t="shared" si="627"/>
        <v>0</v>
      </c>
      <c r="BZ113" s="100">
        <f t="shared" si="627"/>
        <v>0</v>
      </c>
      <c r="CA113" s="100">
        <f t="shared" si="627"/>
        <v>0</v>
      </c>
      <c r="CB113" s="100">
        <f t="shared" si="627"/>
        <v>0</v>
      </c>
      <c r="CC113" s="202">
        <f t="shared" si="627"/>
        <v>0</v>
      </c>
      <c r="CD113" s="165">
        <f t="shared" si="627"/>
        <v>0</v>
      </c>
      <c r="CE113" s="100">
        <f t="shared" si="627"/>
        <v>0</v>
      </c>
      <c r="CF113" s="100">
        <f t="shared" si="627"/>
        <v>0</v>
      </c>
      <c r="CG113" s="100">
        <f t="shared" si="627"/>
        <v>0</v>
      </c>
      <c r="CH113" s="100">
        <f t="shared" si="627"/>
        <v>0</v>
      </c>
      <c r="CI113" s="100">
        <f t="shared" si="627"/>
        <v>0</v>
      </c>
      <c r="CJ113" s="100">
        <f t="shared" si="627"/>
        <v>0</v>
      </c>
      <c r="CK113" s="100">
        <f t="shared" si="627"/>
        <v>0</v>
      </c>
      <c r="CL113" s="100">
        <f t="shared" si="627"/>
        <v>0</v>
      </c>
      <c r="CM113" s="100">
        <f>SUM(CM108:CM112)</f>
        <v>717</v>
      </c>
      <c r="CN113" s="100">
        <f>SUM(CN108:CN112)</f>
        <v>1471</v>
      </c>
      <c r="CO113" s="202"/>
      <c r="CP113" s="165">
        <f>SUM(CP108:CP112)</f>
        <v>0</v>
      </c>
      <c r="CQ113" s="102">
        <f t="shared" ref="CQ113:DA113" si="628">SUM(CQ108:CQ112)</f>
        <v>0</v>
      </c>
      <c r="CR113" s="102">
        <f t="shared" si="628"/>
        <v>0</v>
      </c>
      <c r="CS113" s="102">
        <f t="shared" si="628"/>
        <v>0</v>
      </c>
      <c r="CT113" s="102">
        <f t="shared" si="628"/>
        <v>0</v>
      </c>
      <c r="CU113" s="102">
        <f t="shared" si="628"/>
        <v>0</v>
      </c>
      <c r="CV113" s="102">
        <f t="shared" si="628"/>
        <v>0</v>
      </c>
      <c r="CW113" s="102">
        <f t="shared" si="628"/>
        <v>0</v>
      </c>
      <c r="CX113" s="102">
        <f t="shared" si="628"/>
        <v>0</v>
      </c>
      <c r="CY113" s="102">
        <f t="shared" si="628"/>
        <v>-717</v>
      </c>
      <c r="CZ113" s="102">
        <f t="shared" si="628"/>
        <v>-1471</v>
      </c>
      <c r="DA113" s="202">
        <f t="shared" si="628"/>
        <v>0</v>
      </c>
      <c r="DB113" s="165">
        <f t="shared" ref="DB113" si="629">SUM(DB108:DB112)</f>
        <v>1341</v>
      </c>
      <c r="DC113" s="100">
        <f t="shared" ref="DC113" si="630">SUM(DC108:DC112)</f>
        <v>1322</v>
      </c>
      <c r="DD113" s="100">
        <f t="shared" ref="DD113" si="631">SUM(DD108:DD112)</f>
        <v>1400</v>
      </c>
      <c r="DE113" s="100">
        <f t="shared" ref="DE113" si="632">SUM(DE108:DE112)</f>
        <v>1456</v>
      </c>
      <c r="DF113" s="100">
        <f t="shared" ref="DF113" si="633">SUM(DF108:DF112)</f>
        <v>1547</v>
      </c>
      <c r="DG113" s="100">
        <v>1508</v>
      </c>
      <c r="DH113" s="100">
        <f t="shared" ref="DH113" si="634">SUM(DH108:DH112)</f>
        <v>1399</v>
      </c>
      <c r="DI113" s="100">
        <f t="shared" ref="DI113" si="635">SUM(DI108:DI112)</f>
        <v>1430</v>
      </c>
      <c r="DJ113" s="100">
        <f t="shared" ref="DJ113" si="636">SUM(DJ108:DJ112)</f>
        <v>1311</v>
      </c>
      <c r="DK113" s="100">
        <f t="shared" ref="DK113" si="637">SUM(DK108:DK112)</f>
        <v>1459</v>
      </c>
      <c r="DL113" s="100">
        <f t="shared" ref="DL113" si="638">SUM(DL108:DL112)</f>
        <v>1287</v>
      </c>
      <c r="DM113" s="202">
        <f t="shared" ref="DM113" si="639">SUM(DM108:DM112)</f>
        <v>0</v>
      </c>
      <c r="DN113" s="165">
        <f>SUM(DN108:DN112)</f>
        <v>1341</v>
      </c>
      <c r="DO113" s="102">
        <f t="shared" ref="DO113:DY113" si="640">SUM(DO108:DO112)</f>
        <v>1322</v>
      </c>
      <c r="DP113" s="102">
        <f t="shared" si="640"/>
        <v>1400</v>
      </c>
      <c r="DQ113" s="102">
        <f t="shared" si="640"/>
        <v>1456</v>
      </c>
      <c r="DR113" s="102">
        <f t="shared" si="640"/>
        <v>1547</v>
      </c>
      <c r="DS113" s="102">
        <f t="shared" si="640"/>
        <v>1508</v>
      </c>
      <c r="DT113" s="102">
        <f t="shared" si="640"/>
        <v>1399</v>
      </c>
      <c r="DU113" s="102">
        <f t="shared" si="640"/>
        <v>1430</v>
      </c>
      <c r="DV113" s="102">
        <f t="shared" si="640"/>
        <v>1311</v>
      </c>
      <c r="DW113" s="102">
        <f t="shared" si="640"/>
        <v>742</v>
      </c>
      <c r="DX113" s="102">
        <f t="shared" si="640"/>
        <v>-184</v>
      </c>
      <c r="DY113" s="202">
        <f t="shared" si="640"/>
        <v>0</v>
      </c>
    </row>
    <row r="114" spans="1:129" x14ac:dyDescent="0.25">
      <c r="A114" s="207" t="s">
        <v>42</v>
      </c>
      <c r="B114" s="164"/>
      <c r="C114" s="94"/>
      <c r="D114" s="94"/>
      <c r="E114" s="94"/>
      <c r="F114" s="94"/>
      <c r="G114" s="94"/>
      <c r="H114" s="94"/>
      <c r="I114" s="94"/>
      <c r="J114" s="94"/>
      <c r="K114" s="94"/>
      <c r="L114" s="164"/>
      <c r="M114" s="94"/>
      <c r="N114" s="94"/>
      <c r="O114" s="94"/>
      <c r="P114" s="94"/>
      <c r="Q114" s="94"/>
      <c r="R114" s="94"/>
      <c r="S114" s="94"/>
      <c r="T114" s="94"/>
      <c r="U114" s="94"/>
      <c r="V114" s="94"/>
      <c r="W114" s="94"/>
      <c r="X114" s="164"/>
      <c r="Y114" s="94"/>
      <c r="Z114" s="94"/>
      <c r="AA114" s="94"/>
      <c r="AB114" s="94"/>
      <c r="AC114" s="94"/>
      <c r="AD114" s="94"/>
      <c r="AE114" s="94"/>
      <c r="AF114" s="94"/>
      <c r="AG114" s="95"/>
      <c r="AH114" s="164"/>
      <c r="AI114" s="94"/>
      <c r="AJ114" s="94"/>
      <c r="AK114" s="94"/>
      <c r="AL114" s="94"/>
      <c r="AM114" s="94"/>
      <c r="AN114" s="94"/>
      <c r="AO114" s="94"/>
      <c r="AP114" s="94"/>
      <c r="AQ114" s="94"/>
      <c r="AR114" s="94"/>
      <c r="AS114" s="95"/>
      <c r="AT114" s="164"/>
      <c r="AU114" s="94"/>
      <c r="AV114" s="94"/>
      <c r="AW114" s="94"/>
      <c r="AX114" s="94"/>
      <c r="AY114" s="94"/>
      <c r="AZ114" s="94"/>
      <c r="BA114" s="94"/>
      <c r="BB114" s="94"/>
      <c r="BC114" s="94"/>
      <c r="BD114" s="94"/>
      <c r="BE114" s="95"/>
      <c r="BF114" s="164"/>
      <c r="BG114" s="94"/>
      <c r="BH114" s="94"/>
      <c r="BI114" s="94"/>
      <c r="BJ114" s="94"/>
      <c r="BK114" s="94"/>
      <c r="BL114" s="94"/>
      <c r="BM114" s="94"/>
      <c r="BN114" s="94"/>
      <c r="BO114" s="94"/>
      <c r="BP114" s="94"/>
      <c r="BQ114" s="95"/>
      <c r="BR114" s="164"/>
      <c r="BS114" s="94"/>
      <c r="BT114" s="94"/>
      <c r="BU114" s="94"/>
      <c r="BV114" s="94"/>
      <c r="BW114" s="94"/>
      <c r="BX114" s="94"/>
      <c r="BY114" s="94"/>
      <c r="BZ114" s="94"/>
      <c r="CA114" s="94"/>
      <c r="CB114" s="94"/>
      <c r="CC114" s="95"/>
      <c r="CD114" s="164"/>
      <c r="CE114" s="94"/>
      <c r="CF114" s="94"/>
      <c r="CG114" s="94"/>
      <c r="CH114" s="94"/>
      <c r="CI114" s="94"/>
      <c r="CJ114" s="94"/>
      <c r="CK114" s="94"/>
      <c r="CL114" s="94"/>
      <c r="CM114" s="94"/>
      <c r="CN114" s="94"/>
      <c r="CO114" s="95"/>
      <c r="CP114" s="164"/>
      <c r="CQ114" s="94"/>
      <c r="CR114" s="94"/>
      <c r="CS114" s="94"/>
      <c r="CT114" s="94"/>
      <c r="CU114" s="94"/>
      <c r="CV114" s="94"/>
      <c r="CW114" s="94"/>
      <c r="CX114" s="94"/>
      <c r="CY114" s="94"/>
      <c r="CZ114" s="94"/>
      <c r="DA114" s="95"/>
      <c r="DB114" s="164"/>
      <c r="DC114" s="94"/>
      <c r="DD114" s="94"/>
      <c r="DE114" s="94"/>
      <c r="DF114" s="94"/>
      <c r="DG114" s="94"/>
      <c r="DH114" s="94"/>
      <c r="DI114" s="94"/>
      <c r="DJ114" s="94"/>
      <c r="DK114" s="94"/>
      <c r="DL114" s="94"/>
      <c r="DM114" s="95"/>
      <c r="DN114" s="164"/>
      <c r="DO114" s="94"/>
      <c r="DP114" s="94"/>
      <c r="DQ114" s="94"/>
      <c r="DR114" s="94"/>
      <c r="DS114" s="94"/>
      <c r="DT114" s="94"/>
      <c r="DU114" s="94"/>
      <c r="DV114" s="94"/>
      <c r="DW114" s="94"/>
      <c r="DX114" s="94"/>
      <c r="DY114" s="95"/>
    </row>
    <row r="115" spans="1:129" x14ac:dyDescent="0.25">
      <c r="A115" s="181" t="s">
        <v>34</v>
      </c>
      <c r="B115" s="168">
        <v>0</v>
      </c>
      <c r="C115" s="104">
        <v>0</v>
      </c>
      <c r="D115" s="104">
        <v>0</v>
      </c>
      <c r="E115" s="104">
        <v>0</v>
      </c>
      <c r="F115" s="104">
        <v>0</v>
      </c>
      <c r="G115" s="104">
        <v>0</v>
      </c>
      <c r="H115" s="104">
        <v>0</v>
      </c>
      <c r="I115" s="104">
        <v>0</v>
      </c>
      <c r="J115" s="104">
        <v>0</v>
      </c>
      <c r="K115" s="104">
        <v>0</v>
      </c>
      <c r="L115" s="168">
        <v>0</v>
      </c>
      <c r="M115" s="104">
        <v>0</v>
      </c>
      <c r="N115" s="104">
        <v>0</v>
      </c>
      <c r="O115" s="104">
        <v>0</v>
      </c>
      <c r="P115" s="104">
        <v>0</v>
      </c>
      <c r="Q115" s="104">
        <v>0</v>
      </c>
      <c r="R115" s="104">
        <v>0</v>
      </c>
      <c r="S115" s="104">
        <v>0</v>
      </c>
      <c r="T115" s="104">
        <v>0</v>
      </c>
      <c r="U115" s="104">
        <v>0</v>
      </c>
      <c r="V115" s="104">
        <v>0</v>
      </c>
      <c r="W115" s="104">
        <v>0</v>
      </c>
      <c r="X115" s="168">
        <f t="shared" ref="X115:AG119" si="641">B115-N115</f>
        <v>0</v>
      </c>
      <c r="Y115" s="104">
        <f t="shared" si="641"/>
        <v>0</v>
      </c>
      <c r="Z115" s="104">
        <f t="shared" si="641"/>
        <v>0</v>
      </c>
      <c r="AA115" s="104">
        <f t="shared" si="641"/>
        <v>0</v>
      </c>
      <c r="AB115" s="104">
        <f t="shared" si="641"/>
        <v>0</v>
      </c>
      <c r="AC115" s="104">
        <f t="shared" si="641"/>
        <v>0</v>
      </c>
      <c r="AD115" s="104">
        <f t="shared" si="641"/>
        <v>0</v>
      </c>
      <c r="AE115" s="104">
        <f t="shared" si="641"/>
        <v>0</v>
      </c>
      <c r="AF115" s="104">
        <f t="shared" si="641"/>
        <v>0</v>
      </c>
      <c r="AG115" s="106">
        <f t="shared" si="641"/>
        <v>0</v>
      </c>
      <c r="AH115" s="168">
        <v>0</v>
      </c>
      <c r="AI115" s="104">
        <v>0</v>
      </c>
      <c r="AJ115" s="104">
        <v>0</v>
      </c>
      <c r="AK115" s="104">
        <v>0</v>
      </c>
      <c r="AL115" s="104">
        <v>0</v>
      </c>
      <c r="AM115" s="104">
        <v>0</v>
      </c>
      <c r="AN115" s="104">
        <v>0</v>
      </c>
      <c r="AO115" s="104">
        <v>0</v>
      </c>
      <c r="AP115" s="104">
        <v>0</v>
      </c>
      <c r="AQ115" s="104">
        <v>0</v>
      </c>
      <c r="AR115" s="104">
        <v>0</v>
      </c>
      <c r="AS115" s="106">
        <v>0</v>
      </c>
      <c r="AT115" s="168">
        <f>L115-AH115</f>
        <v>0</v>
      </c>
      <c r="AU115" s="104">
        <f t="shared" ref="AU115:BE119" si="642">M115-AI115</f>
        <v>0</v>
      </c>
      <c r="AV115" s="104">
        <f t="shared" si="642"/>
        <v>0</v>
      </c>
      <c r="AW115" s="104">
        <f t="shared" si="642"/>
        <v>0</v>
      </c>
      <c r="AX115" s="104">
        <f t="shared" si="642"/>
        <v>0</v>
      </c>
      <c r="AY115" s="104">
        <f t="shared" si="642"/>
        <v>0</v>
      </c>
      <c r="AZ115" s="104">
        <f t="shared" si="642"/>
        <v>0</v>
      </c>
      <c r="BA115" s="104">
        <f t="shared" si="642"/>
        <v>0</v>
      </c>
      <c r="BB115" s="104">
        <f t="shared" si="642"/>
        <v>0</v>
      </c>
      <c r="BC115" s="104">
        <f t="shared" si="642"/>
        <v>0</v>
      </c>
      <c r="BD115" s="104">
        <f t="shared" si="642"/>
        <v>0</v>
      </c>
      <c r="BE115" s="106">
        <f t="shared" si="642"/>
        <v>0</v>
      </c>
      <c r="BF115" s="168">
        <f t="shared" ref="BF115:BQ119" si="643">L115-AH115</f>
        <v>0</v>
      </c>
      <c r="BG115" s="104">
        <f t="shared" si="643"/>
        <v>0</v>
      </c>
      <c r="BH115" s="104">
        <f t="shared" si="643"/>
        <v>0</v>
      </c>
      <c r="BI115" s="104">
        <f t="shared" si="643"/>
        <v>0</v>
      </c>
      <c r="BJ115" s="104">
        <f t="shared" si="643"/>
        <v>0</v>
      </c>
      <c r="BK115" s="104">
        <f t="shared" si="643"/>
        <v>0</v>
      </c>
      <c r="BL115" s="104">
        <f t="shared" si="643"/>
        <v>0</v>
      </c>
      <c r="BM115" s="104">
        <f t="shared" si="643"/>
        <v>0</v>
      </c>
      <c r="BN115" s="104">
        <f t="shared" si="643"/>
        <v>0</v>
      </c>
      <c r="BO115" s="104">
        <f t="shared" si="643"/>
        <v>0</v>
      </c>
      <c r="BP115" s="104">
        <f t="shared" si="643"/>
        <v>0</v>
      </c>
      <c r="BQ115" s="106">
        <f t="shared" si="643"/>
        <v>0</v>
      </c>
      <c r="BR115" s="168">
        <f t="shared" ref="BR115:BR119" si="644">AH115-BF115</f>
        <v>0</v>
      </c>
      <c r="BS115" s="104">
        <f t="shared" ref="BS115:BS119" si="645">AI115-BG115</f>
        <v>0</v>
      </c>
      <c r="BT115" s="104">
        <f t="shared" ref="BT115:BT119" si="646">AJ115-BH115</f>
        <v>0</v>
      </c>
      <c r="BU115" s="104">
        <f t="shared" ref="BU115:BU119" si="647">AK115-BI115</f>
        <v>0</v>
      </c>
      <c r="BV115" s="104">
        <f t="shared" ref="BV115:BV119" si="648">AL115-BJ115</f>
        <v>0</v>
      </c>
      <c r="BW115" s="104">
        <f t="shared" ref="BW115:BW119" si="649">AM115-BK115</f>
        <v>0</v>
      </c>
      <c r="BX115" s="104">
        <f t="shared" ref="BX115:BX119" si="650">AN115-BL115</f>
        <v>0</v>
      </c>
      <c r="BY115" s="104">
        <f t="shared" ref="BY115:BY119" si="651">AO115-BM115</f>
        <v>0</v>
      </c>
      <c r="BZ115" s="104">
        <f t="shared" ref="BZ115:BZ119" si="652">AP115-BN115</f>
        <v>0</v>
      </c>
      <c r="CA115" s="104">
        <f t="shared" ref="CA115:CA119" si="653">AQ115-BO115</f>
        <v>0</v>
      </c>
      <c r="CB115" s="104">
        <f t="shared" ref="CB115:CB119" si="654">AR115-BP115</f>
        <v>0</v>
      </c>
      <c r="CC115" s="106">
        <f t="shared" ref="CC115:CC119" si="655">AS115-BQ115</f>
        <v>0</v>
      </c>
      <c r="CD115" s="168">
        <v>0</v>
      </c>
      <c r="CE115" s="104">
        <v>0</v>
      </c>
      <c r="CF115" s="104">
        <v>0</v>
      </c>
      <c r="CG115" s="104">
        <v>0</v>
      </c>
      <c r="CH115" s="104">
        <v>0</v>
      </c>
      <c r="CI115" s="104">
        <v>0</v>
      </c>
      <c r="CJ115" s="104">
        <v>0</v>
      </c>
      <c r="CK115" s="104">
        <v>0</v>
      </c>
      <c r="CL115" s="104">
        <v>0</v>
      </c>
      <c r="CM115" s="104">
        <v>0</v>
      </c>
      <c r="CN115" s="104">
        <v>0</v>
      </c>
      <c r="CO115" s="106">
        <v>0</v>
      </c>
      <c r="CP115" s="168"/>
      <c r="CQ115" s="104"/>
      <c r="CR115" s="104"/>
      <c r="CS115" s="104"/>
      <c r="CT115" s="104"/>
      <c r="CU115" s="104"/>
      <c r="CV115" s="104"/>
      <c r="CW115" s="104"/>
      <c r="CX115" s="104"/>
      <c r="CY115" s="104"/>
      <c r="CZ115" s="104"/>
      <c r="DA115" s="106"/>
      <c r="DB115" s="168"/>
      <c r="DC115" s="104"/>
      <c r="DD115" s="104"/>
      <c r="DE115" s="104"/>
      <c r="DF115" s="104"/>
      <c r="DG115" s="104"/>
      <c r="DH115" s="104"/>
      <c r="DI115" s="104"/>
      <c r="DJ115" s="104"/>
      <c r="DK115" s="104"/>
      <c r="DL115" s="104"/>
      <c r="DM115" s="106"/>
      <c r="DN115" s="104">
        <f>DB115-CD115</f>
        <v>0</v>
      </c>
      <c r="DO115" s="104">
        <f t="shared" ref="DO115:DY119" si="656">DC115-CE115</f>
        <v>0</v>
      </c>
      <c r="DP115" s="104">
        <f t="shared" si="656"/>
        <v>0</v>
      </c>
      <c r="DQ115" s="104">
        <f t="shared" si="656"/>
        <v>0</v>
      </c>
      <c r="DR115" s="104">
        <f t="shared" si="656"/>
        <v>0</v>
      </c>
      <c r="DS115" s="104">
        <f t="shared" si="656"/>
        <v>0</v>
      </c>
      <c r="DT115" s="104">
        <f t="shared" si="656"/>
        <v>0</v>
      </c>
      <c r="DU115" s="104">
        <f t="shared" si="656"/>
        <v>0</v>
      </c>
      <c r="DV115" s="104">
        <f t="shared" si="656"/>
        <v>0</v>
      </c>
      <c r="DW115" s="104">
        <f t="shared" si="656"/>
        <v>0</v>
      </c>
      <c r="DX115" s="104">
        <f t="shared" si="656"/>
        <v>0</v>
      </c>
      <c r="DY115" s="106">
        <f t="shared" si="656"/>
        <v>0</v>
      </c>
    </row>
    <row r="116" spans="1:129" x14ac:dyDescent="0.25">
      <c r="A116" s="181" t="s">
        <v>35</v>
      </c>
      <c r="B116" s="168">
        <v>0</v>
      </c>
      <c r="C116" s="104">
        <v>0</v>
      </c>
      <c r="D116" s="104">
        <v>0</v>
      </c>
      <c r="E116" s="104">
        <v>0</v>
      </c>
      <c r="F116" s="104">
        <v>0</v>
      </c>
      <c r="G116" s="104">
        <v>0</v>
      </c>
      <c r="H116" s="104">
        <v>0</v>
      </c>
      <c r="I116" s="104">
        <v>0</v>
      </c>
      <c r="J116" s="104">
        <v>0</v>
      </c>
      <c r="K116" s="104">
        <v>0</v>
      </c>
      <c r="L116" s="168">
        <v>0</v>
      </c>
      <c r="M116" s="104">
        <v>0</v>
      </c>
      <c r="N116" s="104">
        <v>0</v>
      </c>
      <c r="O116" s="104">
        <v>0</v>
      </c>
      <c r="P116" s="104">
        <v>0</v>
      </c>
      <c r="Q116" s="104">
        <v>0</v>
      </c>
      <c r="R116" s="104">
        <v>0</v>
      </c>
      <c r="S116" s="104">
        <v>0</v>
      </c>
      <c r="T116" s="104">
        <v>0</v>
      </c>
      <c r="U116" s="104">
        <v>0</v>
      </c>
      <c r="V116" s="104">
        <v>0</v>
      </c>
      <c r="W116" s="104">
        <v>0</v>
      </c>
      <c r="X116" s="168">
        <f t="shared" si="641"/>
        <v>0</v>
      </c>
      <c r="Y116" s="104">
        <f t="shared" si="641"/>
        <v>0</v>
      </c>
      <c r="Z116" s="104">
        <f t="shared" si="641"/>
        <v>0</v>
      </c>
      <c r="AA116" s="104">
        <f t="shared" si="641"/>
        <v>0</v>
      </c>
      <c r="AB116" s="104">
        <f t="shared" si="641"/>
        <v>0</v>
      </c>
      <c r="AC116" s="104">
        <f t="shared" si="641"/>
        <v>0</v>
      </c>
      <c r="AD116" s="104">
        <f t="shared" si="641"/>
        <v>0</v>
      </c>
      <c r="AE116" s="104">
        <f t="shared" si="641"/>
        <v>0</v>
      </c>
      <c r="AF116" s="104">
        <f t="shared" si="641"/>
        <v>0</v>
      </c>
      <c r="AG116" s="106">
        <f t="shared" si="641"/>
        <v>0</v>
      </c>
      <c r="AH116" s="168">
        <v>0</v>
      </c>
      <c r="AI116" s="104">
        <v>0</v>
      </c>
      <c r="AJ116" s="104">
        <v>0</v>
      </c>
      <c r="AK116" s="104">
        <v>0</v>
      </c>
      <c r="AL116" s="104">
        <v>0</v>
      </c>
      <c r="AM116" s="104">
        <v>0</v>
      </c>
      <c r="AN116" s="104">
        <v>0</v>
      </c>
      <c r="AO116" s="104">
        <v>0</v>
      </c>
      <c r="AP116" s="104">
        <v>0</v>
      </c>
      <c r="AQ116" s="104">
        <v>0</v>
      </c>
      <c r="AR116" s="104">
        <v>0</v>
      </c>
      <c r="AS116" s="106">
        <v>0</v>
      </c>
      <c r="AT116" s="168">
        <f t="shared" ref="AT116:AT119" si="657">L116-AH116</f>
        <v>0</v>
      </c>
      <c r="AU116" s="104">
        <f t="shared" si="642"/>
        <v>0</v>
      </c>
      <c r="AV116" s="104">
        <f t="shared" si="642"/>
        <v>0</v>
      </c>
      <c r="AW116" s="104">
        <f t="shared" si="642"/>
        <v>0</v>
      </c>
      <c r="AX116" s="104">
        <f t="shared" si="642"/>
        <v>0</v>
      </c>
      <c r="AY116" s="104">
        <f t="shared" si="642"/>
        <v>0</v>
      </c>
      <c r="AZ116" s="104">
        <f t="shared" si="642"/>
        <v>0</v>
      </c>
      <c r="BA116" s="104">
        <f t="shared" si="642"/>
        <v>0</v>
      </c>
      <c r="BB116" s="104">
        <f t="shared" si="642"/>
        <v>0</v>
      </c>
      <c r="BC116" s="104">
        <f t="shared" si="642"/>
        <v>0</v>
      </c>
      <c r="BD116" s="104">
        <f t="shared" si="642"/>
        <v>0</v>
      </c>
      <c r="BE116" s="106">
        <f t="shared" si="642"/>
        <v>0</v>
      </c>
      <c r="BF116" s="168">
        <f t="shared" si="643"/>
        <v>0</v>
      </c>
      <c r="BG116" s="104">
        <f t="shared" si="643"/>
        <v>0</v>
      </c>
      <c r="BH116" s="104">
        <f t="shared" si="643"/>
        <v>0</v>
      </c>
      <c r="BI116" s="104">
        <f t="shared" si="643"/>
        <v>0</v>
      </c>
      <c r="BJ116" s="104">
        <f t="shared" si="643"/>
        <v>0</v>
      </c>
      <c r="BK116" s="104">
        <f t="shared" si="643"/>
        <v>0</v>
      </c>
      <c r="BL116" s="104">
        <f t="shared" si="643"/>
        <v>0</v>
      </c>
      <c r="BM116" s="104">
        <f t="shared" si="643"/>
        <v>0</v>
      </c>
      <c r="BN116" s="104">
        <f t="shared" si="643"/>
        <v>0</v>
      </c>
      <c r="BO116" s="104">
        <f t="shared" si="643"/>
        <v>0</v>
      </c>
      <c r="BP116" s="104">
        <f t="shared" si="643"/>
        <v>0</v>
      </c>
      <c r="BQ116" s="106">
        <f t="shared" si="643"/>
        <v>0</v>
      </c>
      <c r="BR116" s="168">
        <f t="shared" si="644"/>
        <v>0</v>
      </c>
      <c r="BS116" s="104">
        <f t="shared" si="645"/>
        <v>0</v>
      </c>
      <c r="BT116" s="104">
        <f t="shared" si="646"/>
        <v>0</v>
      </c>
      <c r="BU116" s="104">
        <f t="shared" si="647"/>
        <v>0</v>
      </c>
      <c r="BV116" s="104">
        <f t="shared" si="648"/>
        <v>0</v>
      </c>
      <c r="BW116" s="104">
        <f t="shared" si="649"/>
        <v>0</v>
      </c>
      <c r="BX116" s="104">
        <f t="shared" si="650"/>
        <v>0</v>
      </c>
      <c r="BY116" s="104">
        <f t="shared" si="651"/>
        <v>0</v>
      </c>
      <c r="BZ116" s="104">
        <f t="shared" si="652"/>
        <v>0</v>
      </c>
      <c r="CA116" s="104">
        <f t="shared" si="653"/>
        <v>0</v>
      </c>
      <c r="CB116" s="104">
        <f t="shared" si="654"/>
        <v>0</v>
      </c>
      <c r="CC116" s="106">
        <f t="shared" si="655"/>
        <v>0</v>
      </c>
      <c r="CD116" s="168">
        <v>0</v>
      </c>
      <c r="CE116" s="104">
        <v>0</v>
      </c>
      <c r="CF116" s="104">
        <v>0</v>
      </c>
      <c r="CG116" s="104">
        <v>0</v>
      </c>
      <c r="CH116" s="104">
        <v>0</v>
      </c>
      <c r="CI116" s="104">
        <v>0</v>
      </c>
      <c r="CJ116" s="104">
        <v>0</v>
      </c>
      <c r="CK116" s="104">
        <v>0</v>
      </c>
      <c r="CL116" s="104">
        <v>0</v>
      </c>
      <c r="CM116" s="104">
        <v>0</v>
      </c>
      <c r="CN116" s="104">
        <v>0</v>
      </c>
      <c r="CO116" s="106">
        <v>0</v>
      </c>
      <c r="CP116" s="168"/>
      <c r="CQ116" s="104"/>
      <c r="CR116" s="104"/>
      <c r="CS116" s="104"/>
      <c r="CT116" s="104"/>
      <c r="CU116" s="104"/>
      <c r="CV116" s="104"/>
      <c r="CW116" s="104"/>
      <c r="CX116" s="104"/>
      <c r="CY116" s="104"/>
      <c r="CZ116" s="104"/>
      <c r="DA116" s="106"/>
      <c r="DB116" s="168"/>
      <c r="DC116" s="104"/>
      <c r="DD116" s="104"/>
      <c r="DE116" s="104"/>
      <c r="DF116" s="104"/>
      <c r="DG116" s="104"/>
      <c r="DH116" s="104"/>
      <c r="DI116" s="104"/>
      <c r="DJ116" s="104"/>
      <c r="DK116" s="104"/>
      <c r="DL116" s="104"/>
      <c r="DM116" s="106"/>
      <c r="DN116" s="104">
        <f t="shared" ref="DN116:DN119" si="658">DB116-CD116</f>
        <v>0</v>
      </c>
      <c r="DO116" s="104">
        <f t="shared" si="656"/>
        <v>0</v>
      </c>
      <c r="DP116" s="104">
        <f t="shared" si="656"/>
        <v>0</v>
      </c>
      <c r="DQ116" s="104">
        <f t="shared" si="656"/>
        <v>0</v>
      </c>
      <c r="DR116" s="104">
        <f t="shared" si="656"/>
        <v>0</v>
      </c>
      <c r="DS116" s="104">
        <f t="shared" si="656"/>
        <v>0</v>
      </c>
      <c r="DT116" s="104">
        <f t="shared" si="656"/>
        <v>0</v>
      </c>
      <c r="DU116" s="104">
        <f t="shared" si="656"/>
        <v>0</v>
      </c>
      <c r="DV116" s="104">
        <f t="shared" si="656"/>
        <v>0</v>
      </c>
      <c r="DW116" s="104">
        <f t="shared" si="656"/>
        <v>0</v>
      </c>
      <c r="DX116" s="104">
        <f t="shared" si="656"/>
        <v>0</v>
      </c>
      <c r="DY116" s="106">
        <f t="shared" si="656"/>
        <v>0</v>
      </c>
    </row>
    <row r="117" spans="1:129" x14ac:dyDescent="0.25">
      <c r="A117" s="181" t="s">
        <v>36</v>
      </c>
      <c r="B117" s="168">
        <v>0</v>
      </c>
      <c r="C117" s="104">
        <v>0</v>
      </c>
      <c r="D117" s="104">
        <v>0</v>
      </c>
      <c r="E117" s="104">
        <v>0</v>
      </c>
      <c r="F117" s="104">
        <v>0</v>
      </c>
      <c r="G117" s="104">
        <v>0</v>
      </c>
      <c r="H117" s="104">
        <v>0</v>
      </c>
      <c r="I117" s="104">
        <v>0</v>
      </c>
      <c r="J117" s="104">
        <v>0</v>
      </c>
      <c r="K117" s="104">
        <v>0</v>
      </c>
      <c r="L117" s="168">
        <v>0</v>
      </c>
      <c r="M117" s="104">
        <v>0</v>
      </c>
      <c r="N117" s="104">
        <v>0</v>
      </c>
      <c r="O117" s="104">
        <v>0</v>
      </c>
      <c r="P117" s="104">
        <v>0</v>
      </c>
      <c r="Q117" s="104">
        <v>0</v>
      </c>
      <c r="R117" s="104">
        <v>0</v>
      </c>
      <c r="S117" s="104">
        <v>0</v>
      </c>
      <c r="T117" s="104">
        <v>0</v>
      </c>
      <c r="U117" s="104">
        <v>0</v>
      </c>
      <c r="V117" s="104">
        <v>0</v>
      </c>
      <c r="W117" s="104">
        <v>0</v>
      </c>
      <c r="X117" s="168">
        <f t="shared" si="641"/>
        <v>0</v>
      </c>
      <c r="Y117" s="104">
        <f t="shared" si="641"/>
        <v>0</v>
      </c>
      <c r="Z117" s="104">
        <f t="shared" si="641"/>
        <v>0</v>
      </c>
      <c r="AA117" s="104">
        <f t="shared" si="641"/>
        <v>0</v>
      </c>
      <c r="AB117" s="104">
        <f t="shared" si="641"/>
        <v>0</v>
      </c>
      <c r="AC117" s="104">
        <f t="shared" si="641"/>
        <v>0</v>
      </c>
      <c r="AD117" s="104">
        <f t="shared" si="641"/>
        <v>0</v>
      </c>
      <c r="AE117" s="104">
        <f t="shared" si="641"/>
        <v>0</v>
      </c>
      <c r="AF117" s="104">
        <f t="shared" si="641"/>
        <v>0</v>
      </c>
      <c r="AG117" s="106">
        <f t="shared" si="641"/>
        <v>0</v>
      </c>
      <c r="AH117" s="168">
        <v>0</v>
      </c>
      <c r="AI117" s="104">
        <v>0</v>
      </c>
      <c r="AJ117" s="104">
        <v>0</v>
      </c>
      <c r="AK117" s="104">
        <v>0</v>
      </c>
      <c r="AL117" s="104">
        <v>0</v>
      </c>
      <c r="AM117" s="104">
        <v>0</v>
      </c>
      <c r="AN117" s="104">
        <v>0</v>
      </c>
      <c r="AO117" s="104">
        <v>0</v>
      </c>
      <c r="AP117" s="104">
        <v>0</v>
      </c>
      <c r="AQ117" s="104">
        <v>0</v>
      </c>
      <c r="AR117" s="104">
        <v>0</v>
      </c>
      <c r="AS117" s="106">
        <v>0</v>
      </c>
      <c r="AT117" s="168">
        <f t="shared" si="657"/>
        <v>0</v>
      </c>
      <c r="AU117" s="104">
        <f t="shared" si="642"/>
        <v>0</v>
      </c>
      <c r="AV117" s="104">
        <f t="shared" si="642"/>
        <v>0</v>
      </c>
      <c r="AW117" s="104">
        <f t="shared" si="642"/>
        <v>0</v>
      </c>
      <c r="AX117" s="104">
        <f t="shared" si="642"/>
        <v>0</v>
      </c>
      <c r="AY117" s="104">
        <f t="shared" si="642"/>
        <v>0</v>
      </c>
      <c r="AZ117" s="104">
        <f t="shared" si="642"/>
        <v>0</v>
      </c>
      <c r="BA117" s="104">
        <f t="shared" si="642"/>
        <v>0</v>
      </c>
      <c r="BB117" s="104">
        <f t="shared" si="642"/>
        <v>0</v>
      </c>
      <c r="BC117" s="104">
        <f t="shared" si="642"/>
        <v>0</v>
      </c>
      <c r="BD117" s="104">
        <f t="shared" si="642"/>
        <v>0</v>
      </c>
      <c r="BE117" s="106">
        <f t="shared" si="642"/>
        <v>0</v>
      </c>
      <c r="BF117" s="168">
        <f t="shared" si="643"/>
        <v>0</v>
      </c>
      <c r="BG117" s="104">
        <f t="shared" si="643"/>
        <v>0</v>
      </c>
      <c r="BH117" s="104">
        <f t="shared" si="643"/>
        <v>0</v>
      </c>
      <c r="BI117" s="104">
        <f t="shared" si="643"/>
        <v>0</v>
      </c>
      <c r="BJ117" s="104">
        <f t="shared" si="643"/>
        <v>0</v>
      </c>
      <c r="BK117" s="104">
        <f t="shared" si="643"/>
        <v>0</v>
      </c>
      <c r="BL117" s="104">
        <f t="shared" si="643"/>
        <v>0</v>
      </c>
      <c r="BM117" s="104">
        <f t="shared" si="643"/>
        <v>0</v>
      </c>
      <c r="BN117" s="104">
        <f t="shared" si="643"/>
        <v>0</v>
      </c>
      <c r="BO117" s="104">
        <f t="shared" si="643"/>
        <v>0</v>
      </c>
      <c r="BP117" s="104">
        <f t="shared" si="643"/>
        <v>0</v>
      </c>
      <c r="BQ117" s="106">
        <f t="shared" si="643"/>
        <v>0</v>
      </c>
      <c r="BR117" s="168">
        <f t="shared" si="644"/>
        <v>0</v>
      </c>
      <c r="BS117" s="104">
        <f t="shared" si="645"/>
        <v>0</v>
      </c>
      <c r="BT117" s="104">
        <f t="shared" si="646"/>
        <v>0</v>
      </c>
      <c r="BU117" s="104">
        <f t="shared" si="647"/>
        <v>0</v>
      </c>
      <c r="BV117" s="104">
        <f t="shared" si="648"/>
        <v>0</v>
      </c>
      <c r="BW117" s="104">
        <f t="shared" si="649"/>
        <v>0</v>
      </c>
      <c r="BX117" s="104">
        <f t="shared" si="650"/>
        <v>0</v>
      </c>
      <c r="BY117" s="104">
        <f t="shared" si="651"/>
        <v>0</v>
      </c>
      <c r="BZ117" s="104">
        <f t="shared" si="652"/>
        <v>0</v>
      </c>
      <c r="CA117" s="104">
        <f t="shared" si="653"/>
        <v>0</v>
      </c>
      <c r="CB117" s="104">
        <f t="shared" si="654"/>
        <v>0</v>
      </c>
      <c r="CC117" s="106">
        <f t="shared" si="655"/>
        <v>0</v>
      </c>
      <c r="CD117" s="168">
        <v>0</v>
      </c>
      <c r="CE117" s="104">
        <v>0</v>
      </c>
      <c r="CF117" s="104">
        <v>0</v>
      </c>
      <c r="CG117" s="104">
        <v>0</v>
      </c>
      <c r="CH117" s="104">
        <v>0</v>
      </c>
      <c r="CI117" s="104">
        <v>0</v>
      </c>
      <c r="CJ117" s="104">
        <v>0</v>
      </c>
      <c r="CK117" s="104">
        <v>0</v>
      </c>
      <c r="CL117" s="104">
        <v>0</v>
      </c>
      <c r="CM117" s="104">
        <v>0</v>
      </c>
      <c r="CN117" s="104">
        <v>0</v>
      </c>
      <c r="CO117" s="106">
        <v>0</v>
      </c>
      <c r="CP117" s="168"/>
      <c r="CQ117" s="104"/>
      <c r="CR117" s="104"/>
      <c r="CS117" s="104"/>
      <c r="CT117" s="104"/>
      <c r="CU117" s="104"/>
      <c r="CV117" s="104"/>
      <c r="CW117" s="104"/>
      <c r="CX117" s="104"/>
      <c r="CY117" s="104"/>
      <c r="CZ117" s="104"/>
      <c r="DA117" s="106"/>
      <c r="DB117" s="168"/>
      <c r="DC117" s="104"/>
      <c r="DD117" s="104"/>
      <c r="DE117" s="104"/>
      <c r="DF117" s="104"/>
      <c r="DG117" s="104"/>
      <c r="DH117" s="104"/>
      <c r="DI117" s="104"/>
      <c r="DJ117" s="104"/>
      <c r="DK117" s="104"/>
      <c r="DL117" s="104"/>
      <c r="DM117" s="106"/>
      <c r="DN117" s="104">
        <f t="shared" si="658"/>
        <v>0</v>
      </c>
      <c r="DO117" s="104">
        <f t="shared" si="656"/>
        <v>0</v>
      </c>
      <c r="DP117" s="104">
        <f t="shared" si="656"/>
        <v>0</v>
      </c>
      <c r="DQ117" s="104">
        <f t="shared" si="656"/>
        <v>0</v>
      </c>
      <c r="DR117" s="104">
        <f t="shared" si="656"/>
        <v>0</v>
      </c>
      <c r="DS117" s="104">
        <f t="shared" si="656"/>
        <v>0</v>
      </c>
      <c r="DT117" s="104">
        <f t="shared" si="656"/>
        <v>0</v>
      </c>
      <c r="DU117" s="104">
        <f t="shared" si="656"/>
        <v>0</v>
      </c>
      <c r="DV117" s="104">
        <f t="shared" si="656"/>
        <v>0</v>
      </c>
      <c r="DW117" s="104">
        <f t="shared" si="656"/>
        <v>0</v>
      </c>
      <c r="DX117" s="104">
        <f t="shared" si="656"/>
        <v>0</v>
      </c>
      <c r="DY117" s="106">
        <f t="shared" si="656"/>
        <v>0</v>
      </c>
    </row>
    <row r="118" spans="1:129" x14ac:dyDescent="0.25">
      <c r="A118" s="181" t="s">
        <v>37</v>
      </c>
      <c r="B118" s="168">
        <v>0</v>
      </c>
      <c r="C118" s="104">
        <v>0</v>
      </c>
      <c r="D118" s="104">
        <v>0</v>
      </c>
      <c r="E118" s="104">
        <v>0</v>
      </c>
      <c r="F118" s="104">
        <v>0</v>
      </c>
      <c r="G118" s="104">
        <v>0</v>
      </c>
      <c r="H118" s="104">
        <v>0</v>
      </c>
      <c r="I118" s="104">
        <v>0</v>
      </c>
      <c r="J118" s="104">
        <v>0</v>
      </c>
      <c r="K118" s="104">
        <v>0</v>
      </c>
      <c r="L118" s="168">
        <v>0</v>
      </c>
      <c r="M118" s="104">
        <v>0</v>
      </c>
      <c r="N118" s="104">
        <v>0</v>
      </c>
      <c r="O118" s="104">
        <v>0</v>
      </c>
      <c r="P118" s="104">
        <v>0</v>
      </c>
      <c r="Q118" s="104">
        <v>0</v>
      </c>
      <c r="R118" s="104">
        <v>0</v>
      </c>
      <c r="S118" s="104">
        <v>0</v>
      </c>
      <c r="T118" s="104">
        <v>0</v>
      </c>
      <c r="U118" s="104">
        <v>0</v>
      </c>
      <c r="V118" s="104">
        <v>0</v>
      </c>
      <c r="W118" s="104">
        <v>0</v>
      </c>
      <c r="X118" s="168">
        <f t="shared" si="641"/>
        <v>0</v>
      </c>
      <c r="Y118" s="104">
        <f t="shared" si="641"/>
        <v>0</v>
      </c>
      <c r="Z118" s="104">
        <f t="shared" si="641"/>
        <v>0</v>
      </c>
      <c r="AA118" s="104">
        <f t="shared" si="641"/>
        <v>0</v>
      </c>
      <c r="AB118" s="104">
        <f t="shared" si="641"/>
        <v>0</v>
      </c>
      <c r="AC118" s="104">
        <f t="shared" si="641"/>
        <v>0</v>
      </c>
      <c r="AD118" s="104">
        <f t="shared" si="641"/>
        <v>0</v>
      </c>
      <c r="AE118" s="104">
        <f t="shared" si="641"/>
        <v>0</v>
      </c>
      <c r="AF118" s="104">
        <f t="shared" si="641"/>
        <v>0</v>
      </c>
      <c r="AG118" s="106">
        <f t="shared" si="641"/>
        <v>0</v>
      </c>
      <c r="AH118" s="168">
        <v>0</v>
      </c>
      <c r="AI118" s="104">
        <v>0</v>
      </c>
      <c r="AJ118" s="104">
        <v>0</v>
      </c>
      <c r="AK118" s="104">
        <v>0</v>
      </c>
      <c r="AL118" s="104">
        <v>0</v>
      </c>
      <c r="AM118" s="104">
        <v>0</v>
      </c>
      <c r="AN118" s="104">
        <v>0</v>
      </c>
      <c r="AO118" s="104">
        <v>0</v>
      </c>
      <c r="AP118" s="104">
        <v>0</v>
      </c>
      <c r="AQ118" s="104">
        <v>0</v>
      </c>
      <c r="AR118" s="104">
        <v>0</v>
      </c>
      <c r="AS118" s="106">
        <v>0</v>
      </c>
      <c r="AT118" s="168">
        <f t="shared" si="657"/>
        <v>0</v>
      </c>
      <c r="AU118" s="104">
        <f t="shared" si="642"/>
        <v>0</v>
      </c>
      <c r="AV118" s="104">
        <f t="shared" si="642"/>
        <v>0</v>
      </c>
      <c r="AW118" s="104">
        <f t="shared" si="642"/>
        <v>0</v>
      </c>
      <c r="AX118" s="104">
        <f t="shared" si="642"/>
        <v>0</v>
      </c>
      <c r="AY118" s="104">
        <f t="shared" si="642"/>
        <v>0</v>
      </c>
      <c r="AZ118" s="104">
        <f t="shared" si="642"/>
        <v>0</v>
      </c>
      <c r="BA118" s="104">
        <f t="shared" si="642"/>
        <v>0</v>
      </c>
      <c r="BB118" s="104">
        <f t="shared" si="642"/>
        <v>0</v>
      </c>
      <c r="BC118" s="104">
        <f t="shared" si="642"/>
        <v>0</v>
      </c>
      <c r="BD118" s="104">
        <f t="shared" si="642"/>
        <v>0</v>
      </c>
      <c r="BE118" s="106">
        <f t="shared" si="642"/>
        <v>0</v>
      </c>
      <c r="BF118" s="168">
        <f t="shared" si="643"/>
        <v>0</v>
      </c>
      <c r="BG118" s="104">
        <f t="shared" si="643"/>
        <v>0</v>
      </c>
      <c r="BH118" s="104">
        <f t="shared" si="643"/>
        <v>0</v>
      </c>
      <c r="BI118" s="104">
        <f t="shared" si="643"/>
        <v>0</v>
      </c>
      <c r="BJ118" s="104">
        <f t="shared" si="643"/>
        <v>0</v>
      </c>
      <c r="BK118" s="104">
        <f t="shared" si="643"/>
        <v>0</v>
      </c>
      <c r="BL118" s="104">
        <f t="shared" si="643"/>
        <v>0</v>
      </c>
      <c r="BM118" s="104">
        <f t="shared" si="643"/>
        <v>0</v>
      </c>
      <c r="BN118" s="104">
        <f t="shared" si="643"/>
        <v>0</v>
      </c>
      <c r="BO118" s="104">
        <f t="shared" si="643"/>
        <v>0</v>
      </c>
      <c r="BP118" s="104">
        <f t="shared" si="643"/>
        <v>0</v>
      </c>
      <c r="BQ118" s="106">
        <f t="shared" si="643"/>
        <v>0</v>
      </c>
      <c r="BR118" s="168">
        <f t="shared" si="644"/>
        <v>0</v>
      </c>
      <c r="BS118" s="104">
        <f t="shared" si="645"/>
        <v>0</v>
      </c>
      <c r="BT118" s="104">
        <f t="shared" si="646"/>
        <v>0</v>
      </c>
      <c r="BU118" s="104">
        <f t="shared" si="647"/>
        <v>0</v>
      </c>
      <c r="BV118" s="104">
        <f t="shared" si="648"/>
        <v>0</v>
      </c>
      <c r="BW118" s="104">
        <f t="shared" si="649"/>
        <v>0</v>
      </c>
      <c r="BX118" s="104">
        <f t="shared" si="650"/>
        <v>0</v>
      </c>
      <c r="BY118" s="104">
        <f t="shared" si="651"/>
        <v>0</v>
      </c>
      <c r="BZ118" s="104">
        <f t="shared" si="652"/>
        <v>0</v>
      </c>
      <c r="CA118" s="104">
        <f t="shared" si="653"/>
        <v>0</v>
      </c>
      <c r="CB118" s="104">
        <f t="shared" si="654"/>
        <v>0</v>
      </c>
      <c r="CC118" s="106">
        <f t="shared" si="655"/>
        <v>0</v>
      </c>
      <c r="CD118" s="168">
        <v>0</v>
      </c>
      <c r="CE118" s="104">
        <v>0</v>
      </c>
      <c r="CF118" s="104">
        <v>0</v>
      </c>
      <c r="CG118" s="104">
        <v>0</v>
      </c>
      <c r="CH118" s="104">
        <v>0</v>
      </c>
      <c r="CI118" s="104">
        <v>0</v>
      </c>
      <c r="CJ118" s="104">
        <v>0</v>
      </c>
      <c r="CK118" s="104">
        <v>0</v>
      </c>
      <c r="CL118" s="104">
        <v>0</v>
      </c>
      <c r="CM118" s="104">
        <v>0</v>
      </c>
      <c r="CN118" s="104">
        <v>0</v>
      </c>
      <c r="CO118" s="106">
        <v>0</v>
      </c>
      <c r="CP118" s="168"/>
      <c r="CQ118" s="104"/>
      <c r="CR118" s="104"/>
      <c r="CS118" s="104"/>
      <c r="CT118" s="104"/>
      <c r="CU118" s="104"/>
      <c r="CV118" s="104"/>
      <c r="CW118" s="104"/>
      <c r="CX118" s="104"/>
      <c r="CY118" s="104"/>
      <c r="CZ118" s="104"/>
      <c r="DA118" s="106"/>
      <c r="DB118" s="168"/>
      <c r="DC118" s="104"/>
      <c r="DD118" s="104"/>
      <c r="DE118" s="104"/>
      <c r="DF118" s="104"/>
      <c r="DG118" s="104"/>
      <c r="DH118" s="104"/>
      <c r="DI118" s="104"/>
      <c r="DJ118" s="104"/>
      <c r="DK118" s="104"/>
      <c r="DL118" s="104"/>
      <c r="DM118" s="106"/>
      <c r="DN118" s="104">
        <f t="shared" si="658"/>
        <v>0</v>
      </c>
      <c r="DO118" s="104">
        <f t="shared" si="656"/>
        <v>0</v>
      </c>
      <c r="DP118" s="104">
        <f t="shared" si="656"/>
        <v>0</v>
      </c>
      <c r="DQ118" s="104">
        <f t="shared" si="656"/>
        <v>0</v>
      </c>
      <c r="DR118" s="104">
        <f t="shared" si="656"/>
        <v>0</v>
      </c>
      <c r="DS118" s="104">
        <f t="shared" si="656"/>
        <v>0</v>
      </c>
      <c r="DT118" s="104">
        <f t="shared" si="656"/>
        <v>0</v>
      </c>
      <c r="DU118" s="104">
        <f t="shared" si="656"/>
        <v>0</v>
      </c>
      <c r="DV118" s="104">
        <f t="shared" si="656"/>
        <v>0</v>
      </c>
      <c r="DW118" s="104">
        <f t="shared" si="656"/>
        <v>0</v>
      </c>
      <c r="DX118" s="104">
        <f t="shared" si="656"/>
        <v>0</v>
      </c>
      <c r="DY118" s="106">
        <f t="shared" si="656"/>
        <v>0</v>
      </c>
    </row>
    <row r="119" spans="1:129" x14ac:dyDescent="0.25">
      <c r="A119" s="181" t="s">
        <v>38</v>
      </c>
      <c r="B119" s="168">
        <v>0</v>
      </c>
      <c r="C119" s="104">
        <v>0</v>
      </c>
      <c r="D119" s="104">
        <v>0</v>
      </c>
      <c r="E119" s="104">
        <v>0</v>
      </c>
      <c r="F119" s="104">
        <v>0</v>
      </c>
      <c r="G119" s="104">
        <v>0</v>
      </c>
      <c r="H119" s="104">
        <v>0</v>
      </c>
      <c r="I119" s="104">
        <v>0</v>
      </c>
      <c r="J119" s="104">
        <v>0</v>
      </c>
      <c r="K119" s="104">
        <v>0</v>
      </c>
      <c r="L119" s="168">
        <v>0</v>
      </c>
      <c r="M119" s="104">
        <v>0</v>
      </c>
      <c r="N119" s="104">
        <v>0</v>
      </c>
      <c r="O119" s="104">
        <v>0</v>
      </c>
      <c r="P119" s="104">
        <v>0</v>
      </c>
      <c r="Q119" s="104">
        <v>0</v>
      </c>
      <c r="R119" s="104">
        <v>0</v>
      </c>
      <c r="S119" s="104">
        <v>0</v>
      </c>
      <c r="T119" s="104">
        <v>0</v>
      </c>
      <c r="U119" s="104">
        <v>0</v>
      </c>
      <c r="V119" s="104">
        <v>0</v>
      </c>
      <c r="W119" s="104">
        <v>0</v>
      </c>
      <c r="X119" s="168">
        <f t="shared" si="641"/>
        <v>0</v>
      </c>
      <c r="Y119" s="104">
        <f t="shared" si="641"/>
        <v>0</v>
      </c>
      <c r="Z119" s="104">
        <f t="shared" si="641"/>
        <v>0</v>
      </c>
      <c r="AA119" s="104">
        <f t="shared" si="641"/>
        <v>0</v>
      </c>
      <c r="AB119" s="104">
        <f t="shared" si="641"/>
        <v>0</v>
      </c>
      <c r="AC119" s="104">
        <f t="shared" si="641"/>
        <v>0</v>
      </c>
      <c r="AD119" s="104">
        <f t="shared" si="641"/>
        <v>0</v>
      </c>
      <c r="AE119" s="104">
        <f t="shared" si="641"/>
        <v>0</v>
      </c>
      <c r="AF119" s="104">
        <f t="shared" si="641"/>
        <v>0</v>
      </c>
      <c r="AG119" s="106">
        <f t="shared" si="641"/>
        <v>0</v>
      </c>
      <c r="AH119" s="168">
        <v>0</v>
      </c>
      <c r="AI119" s="104">
        <v>0</v>
      </c>
      <c r="AJ119" s="104">
        <v>0</v>
      </c>
      <c r="AK119" s="104">
        <v>0</v>
      </c>
      <c r="AL119" s="104">
        <v>0</v>
      </c>
      <c r="AM119" s="104">
        <v>0</v>
      </c>
      <c r="AN119" s="104">
        <v>0</v>
      </c>
      <c r="AO119" s="104">
        <v>0</v>
      </c>
      <c r="AP119" s="104">
        <v>0</v>
      </c>
      <c r="AQ119" s="104">
        <v>0</v>
      </c>
      <c r="AR119" s="104">
        <v>0</v>
      </c>
      <c r="AS119" s="106">
        <v>0</v>
      </c>
      <c r="AT119" s="168">
        <f t="shared" si="657"/>
        <v>0</v>
      </c>
      <c r="AU119" s="104">
        <f t="shared" si="642"/>
        <v>0</v>
      </c>
      <c r="AV119" s="104">
        <f t="shared" si="642"/>
        <v>0</v>
      </c>
      <c r="AW119" s="104">
        <f t="shared" si="642"/>
        <v>0</v>
      </c>
      <c r="AX119" s="104">
        <f t="shared" si="642"/>
        <v>0</v>
      </c>
      <c r="AY119" s="104">
        <f t="shared" si="642"/>
        <v>0</v>
      </c>
      <c r="AZ119" s="104">
        <f t="shared" si="642"/>
        <v>0</v>
      </c>
      <c r="BA119" s="104">
        <f t="shared" si="642"/>
        <v>0</v>
      </c>
      <c r="BB119" s="104">
        <f t="shared" si="642"/>
        <v>0</v>
      </c>
      <c r="BC119" s="104">
        <f t="shared" si="642"/>
        <v>0</v>
      </c>
      <c r="BD119" s="104">
        <f t="shared" si="642"/>
        <v>0</v>
      </c>
      <c r="BE119" s="106">
        <f t="shared" si="642"/>
        <v>0</v>
      </c>
      <c r="BF119" s="168">
        <f t="shared" si="643"/>
        <v>0</v>
      </c>
      <c r="BG119" s="104">
        <f t="shared" si="643"/>
        <v>0</v>
      </c>
      <c r="BH119" s="104">
        <f t="shared" si="643"/>
        <v>0</v>
      </c>
      <c r="BI119" s="104">
        <f t="shared" si="643"/>
        <v>0</v>
      </c>
      <c r="BJ119" s="104">
        <f t="shared" si="643"/>
        <v>0</v>
      </c>
      <c r="BK119" s="104">
        <f t="shared" si="643"/>
        <v>0</v>
      </c>
      <c r="BL119" s="104">
        <f t="shared" si="643"/>
        <v>0</v>
      </c>
      <c r="BM119" s="104">
        <f t="shared" si="643"/>
        <v>0</v>
      </c>
      <c r="BN119" s="104">
        <f t="shared" si="643"/>
        <v>0</v>
      </c>
      <c r="BO119" s="104">
        <f t="shared" si="643"/>
        <v>0</v>
      </c>
      <c r="BP119" s="104">
        <f t="shared" si="643"/>
        <v>0</v>
      </c>
      <c r="BQ119" s="106">
        <f t="shared" si="643"/>
        <v>0</v>
      </c>
      <c r="BR119" s="168">
        <f t="shared" si="644"/>
        <v>0</v>
      </c>
      <c r="BS119" s="104">
        <f t="shared" si="645"/>
        <v>0</v>
      </c>
      <c r="BT119" s="104">
        <f t="shared" si="646"/>
        <v>0</v>
      </c>
      <c r="BU119" s="104">
        <f t="shared" si="647"/>
        <v>0</v>
      </c>
      <c r="BV119" s="104">
        <f t="shared" si="648"/>
        <v>0</v>
      </c>
      <c r="BW119" s="104">
        <f t="shared" si="649"/>
        <v>0</v>
      </c>
      <c r="BX119" s="104">
        <f t="shared" si="650"/>
        <v>0</v>
      </c>
      <c r="BY119" s="104">
        <f t="shared" si="651"/>
        <v>0</v>
      </c>
      <c r="BZ119" s="104">
        <f t="shared" si="652"/>
        <v>0</v>
      </c>
      <c r="CA119" s="104">
        <f t="shared" si="653"/>
        <v>0</v>
      </c>
      <c r="CB119" s="104">
        <f t="shared" si="654"/>
        <v>0</v>
      </c>
      <c r="CC119" s="106">
        <f t="shared" si="655"/>
        <v>0</v>
      </c>
      <c r="CD119" s="168">
        <v>0</v>
      </c>
      <c r="CE119" s="104">
        <v>0</v>
      </c>
      <c r="CF119" s="104">
        <v>0</v>
      </c>
      <c r="CG119" s="104">
        <v>0</v>
      </c>
      <c r="CH119" s="104">
        <v>0</v>
      </c>
      <c r="CI119" s="104">
        <v>0</v>
      </c>
      <c r="CJ119" s="104">
        <v>0</v>
      </c>
      <c r="CK119" s="104">
        <v>0</v>
      </c>
      <c r="CL119" s="104">
        <v>0</v>
      </c>
      <c r="CM119" s="104">
        <v>0</v>
      </c>
      <c r="CN119" s="104">
        <v>0</v>
      </c>
      <c r="CO119" s="106">
        <v>0</v>
      </c>
      <c r="CP119" s="168"/>
      <c r="CQ119" s="104"/>
      <c r="CR119" s="104"/>
      <c r="CS119" s="104"/>
      <c r="CT119" s="104"/>
      <c r="CU119" s="104"/>
      <c r="CV119" s="104"/>
      <c r="CW119" s="104"/>
      <c r="CX119" s="104"/>
      <c r="CY119" s="104"/>
      <c r="CZ119" s="104"/>
      <c r="DA119" s="106"/>
      <c r="DB119" s="168"/>
      <c r="DC119" s="104"/>
      <c r="DD119" s="104"/>
      <c r="DE119" s="104"/>
      <c r="DF119" s="104"/>
      <c r="DG119" s="104"/>
      <c r="DH119" s="104"/>
      <c r="DI119" s="104"/>
      <c r="DJ119" s="104"/>
      <c r="DK119" s="104"/>
      <c r="DL119" s="104"/>
      <c r="DM119" s="106"/>
      <c r="DN119" s="104">
        <f t="shared" si="658"/>
        <v>0</v>
      </c>
      <c r="DO119" s="104">
        <f t="shared" si="656"/>
        <v>0</v>
      </c>
      <c r="DP119" s="104">
        <f t="shared" si="656"/>
        <v>0</v>
      </c>
      <c r="DQ119" s="104">
        <f t="shared" si="656"/>
        <v>0</v>
      </c>
      <c r="DR119" s="104">
        <f t="shared" si="656"/>
        <v>0</v>
      </c>
      <c r="DS119" s="104">
        <f t="shared" si="656"/>
        <v>0</v>
      </c>
      <c r="DT119" s="104">
        <f t="shared" si="656"/>
        <v>0</v>
      </c>
      <c r="DU119" s="104">
        <f t="shared" si="656"/>
        <v>0</v>
      </c>
      <c r="DV119" s="104">
        <f t="shared" si="656"/>
        <v>0</v>
      </c>
      <c r="DW119" s="104">
        <f t="shared" si="656"/>
        <v>0</v>
      </c>
      <c r="DX119" s="104">
        <f t="shared" si="656"/>
        <v>0</v>
      </c>
      <c r="DY119" s="106">
        <f t="shared" si="656"/>
        <v>0</v>
      </c>
    </row>
    <row r="120" spans="1:129" ht="15.75" thickBot="1" x14ac:dyDescent="0.3">
      <c r="A120" s="182" t="s">
        <v>39</v>
      </c>
      <c r="B120" s="171">
        <f>SUM(B115:B119)</f>
        <v>0</v>
      </c>
      <c r="C120" s="104">
        <f t="shared" ref="C120:K120" si="659">SUM(C115:C119)</f>
        <v>0</v>
      </c>
      <c r="D120" s="104">
        <f t="shared" si="659"/>
        <v>0</v>
      </c>
      <c r="E120" s="104">
        <f t="shared" si="659"/>
        <v>0</v>
      </c>
      <c r="F120" s="104">
        <f t="shared" si="659"/>
        <v>0</v>
      </c>
      <c r="G120" s="104">
        <f t="shared" si="659"/>
        <v>0</v>
      </c>
      <c r="H120" s="104">
        <f t="shared" si="659"/>
        <v>0</v>
      </c>
      <c r="I120" s="104">
        <f t="shared" si="659"/>
        <v>0</v>
      </c>
      <c r="J120" s="104">
        <f t="shared" si="659"/>
        <v>0</v>
      </c>
      <c r="K120" s="104">
        <f t="shared" si="659"/>
        <v>0</v>
      </c>
      <c r="L120" s="171">
        <f>SUM(L115:L119)</f>
        <v>0</v>
      </c>
      <c r="M120" s="104">
        <f>SUM(M115:M119)</f>
        <v>0</v>
      </c>
      <c r="N120" s="104">
        <f t="shared" ref="N120:W120" si="660">SUM(N115:N119)</f>
        <v>0</v>
      </c>
      <c r="O120" s="104">
        <f t="shared" si="660"/>
        <v>0</v>
      </c>
      <c r="P120" s="104">
        <f t="shared" si="660"/>
        <v>0</v>
      </c>
      <c r="Q120" s="104">
        <f t="shared" si="660"/>
        <v>0</v>
      </c>
      <c r="R120" s="104">
        <f t="shared" si="660"/>
        <v>0</v>
      </c>
      <c r="S120" s="104">
        <f t="shared" si="660"/>
        <v>0</v>
      </c>
      <c r="T120" s="104">
        <f t="shared" si="660"/>
        <v>0</v>
      </c>
      <c r="U120" s="104">
        <f t="shared" si="660"/>
        <v>0</v>
      </c>
      <c r="V120" s="104">
        <f t="shared" si="660"/>
        <v>0</v>
      </c>
      <c r="W120" s="104">
        <f t="shared" si="660"/>
        <v>0</v>
      </c>
      <c r="X120" s="168">
        <f t="shared" ref="X120" si="661">SUM(X115:X119)</f>
        <v>0</v>
      </c>
      <c r="Y120" s="160">
        <f t="shared" ref="Y120" si="662">SUM(Y115:Y119)</f>
        <v>0</v>
      </c>
      <c r="Z120" s="160">
        <f t="shared" ref="Z120" si="663">SUM(Z115:Z119)</f>
        <v>0</v>
      </c>
      <c r="AA120" s="160">
        <f t="shared" ref="AA120" si="664">SUM(AA115:AA119)</f>
        <v>0</v>
      </c>
      <c r="AB120" s="160">
        <f t="shared" ref="AB120" si="665">SUM(AB115:AB119)</f>
        <v>0</v>
      </c>
      <c r="AC120" s="160">
        <f t="shared" ref="AC120" si="666">SUM(AC115:AC119)</f>
        <v>0</v>
      </c>
      <c r="AD120" s="160">
        <f t="shared" ref="AD120" si="667">SUM(AD115:AD119)</f>
        <v>0</v>
      </c>
      <c r="AE120" s="160">
        <f t="shared" ref="AE120" si="668">SUM(AE115:AE119)</f>
        <v>0</v>
      </c>
      <c r="AF120" s="160">
        <f t="shared" ref="AF120" si="669">SUM(AF115:AF119)</f>
        <v>0</v>
      </c>
      <c r="AG120" s="206">
        <f t="shared" ref="AG120" si="670">SUM(AG115:AG119)</f>
        <v>0</v>
      </c>
      <c r="AH120" s="171">
        <f>SUM(AH115:AH119)</f>
        <v>0</v>
      </c>
      <c r="AI120" s="104">
        <f t="shared" ref="AI120:AS120" si="671">SUM(AI115:AI119)</f>
        <v>0</v>
      </c>
      <c r="AJ120" s="104">
        <f t="shared" si="671"/>
        <v>0</v>
      </c>
      <c r="AK120" s="160">
        <f t="shared" si="671"/>
        <v>0</v>
      </c>
      <c r="AL120" s="160">
        <f t="shared" si="671"/>
        <v>0</v>
      </c>
      <c r="AM120" s="160">
        <f t="shared" si="671"/>
        <v>0</v>
      </c>
      <c r="AN120" s="160">
        <f t="shared" si="671"/>
        <v>0</v>
      </c>
      <c r="AO120" s="160">
        <f t="shared" si="671"/>
        <v>0</v>
      </c>
      <c r="AP120" s="160">
        <f t="shared" si="671"/>
        <v>0</v>
      </c>
      <c r="AQ120" s="160">
        <f t="shared" si="671"/>
        <v>0</v>
      </c>
      <c r="AR120" s="160">
        <f t="shared" si="671"/>
        <v>0</v>
      </c>
      <c r="AS120" s="206">
        <f t="shared" si="671"/>
        <v>0</v>
      </c>
      <c r="AT120" s="168">
        <f>SUM(AT115:AT119)</f>
        <v>0</v>
      </c>
      <c r="AU120" s="104">
        <f t="shared" ref="AU120" si="672">SUM(AU115:AU119)</f>
        <v>0</v>
      </c>
      <c r="AV120" s="104">
        <f t="shared" ref="AV120" si="673">SUM(AV115:AV119)</f>
        <v>0</v>
      </c>
      <c r="AW120" s="160">
        <f t="shared" ref="AW120" si="674">SUM(AW115:AW119)</f>
        <v>0</v>
      </c>
      <c r="AX120" s="160">
        <f t="shared" ref="AX120" si="675">SUM(AX115:AX119)</f>
        <v>0</v>
      </c>
      <c r="AY120" s="160">
        <f t="shared" ref="AY120" si="676">SUM(AY115:AY119)</f>
        <v>0</v>
      </c>
      <c r="AZ120" s="160">
        <f t="shared" ref="AZ120" si="677">SUM(AZ115:AZ119)</f>
        <v>0</v>
      </c>
      <c r="BA120" s="160">
        <f t="shared" ref="BA120" si="678">SUM(BA115:BA119)</f>
        <v>0</v>
      </c>
      <c r="BB120" s="160">
        <f t="shared" ref="BB120" si="679">SUM(BB115:BB119)</f>
        <v>0</v>
      </c>
      <c r="BC120" s="160">
        <f t="shared" ref="BC120" si="680">SUM(BC115:BC119)</f>
        <v>0</v>
      </c>
      <c r="BD120" s="160">
        <f t="shared" ref="BD120" si="681">SUM(BD115:BD119)</f>
        <v>0</v>
      </c>
      <c r="BE120" s="206">
        <f t="shared" ref="BE120" si="682">SUM(BE115:BE119)</f>
        <v>0</v>
      </c>
      <c r="BF120" s="168">
        <f>SUM(BF115:BF119)</f>
        <v>0</v>
      </c>
      <c r="BG120" s="104">
        <f t="shared" ref="BG120" si="683">SUM(BG115:BG119)</f>
        <v>0</v>
      </c>
      <c r="BH120" s="104">
        <f t="shared" ref="BH120" si="684">SUM(BH115:BH119)</f>
        <v>0</v>
      </c>
      <c r="BI120" s="160">
        <f t="shared" ref="BI120" si="685">SUM(BI115:BI119)</f>
        <v>0</v>
      </c>
      <c r="BJ120" s="160">
        <f t="shared" ref="BJ120" si="686">SUM(BJ115:BJ119)</f>
        <v>0</v>
      </c>
      <c r="BK120" s="160">
        <f t="shared" ref="BK120" si="687">SUM(BK115:BK119)</f>
        <v>0</v>
      </c>
      <c r="BL120" s="160">
        <f t="shared" ref="BL120" si="688">SUM(BL115:BL119)</f>
        <v>0</v>
      </c>
      <c r="BM120" s="160">
        <f t="shared" ref="BM120" si="689">SUM(BM115:BM119)</f>
        <v>0</v>
      </c>
      <c r="BN120" s="160">
        <f t="shared" ref="BN120" si="690">SUM(BN115:BN119)</f>
        <v>0</v>
      </c>
      <c r="BO120" s="160">
        <f t="shared" ref="BO120" si="691">SUM(BO115:BO119)</f>
        <v>0</v>
      </c>
      <c r="BP120" s="160">
        <f t="shared" ref="BP120" si="692">SUM(BP115:BP119)</f>
        <v>0</v>
      </c>
      <c r="BQ120" s="206">
        <f t="shared" ref="BQ120" si="693">SUM(BQ115:BQ119)</f>
        <v>0</v>
      </c>
      <c r="BR120" s="168">
        <f>SUM(BR115:BR119)</f>
        <v>0</v>
      </c>
      <c r="BS120" s="104">
        <f t="shared" ref="BS120:CC120" si="694">SUM(BS115:BS119)</f>
        <v>0</v>
      </c>
      <c r="BT120" s="104">
        <f t="shared" si="694"/>
        <v>0</v>
      </c>
      <c r="BU120" s="160">
        <f t="shared" si="694"/>
        <v>0</v>
      </c>
      <c r="BV120" s="160">
        <f t="shared" si="694"/>
        <v>0</v>
      </c>
      <c r="BW120" s="160">
        <f t="shared" si="694"/>
        <v>0</v>
      </c>
      <c r="BX120" s="160">
        <f t="shared" si="694"/>
        <v>0</v>
      </c>
      <c r="BY120" s="160">
        <f t="shared" si="694"/>
        <v>0</v>
      </c>
      <c r="BZ120" s="160">
        <f t="shared" si="694"/>
        <v>0</v>
      </c>
      <c r="CA120" s="160">
        <f t="shared" si="694"/>
        <v>0</v>
      </c>
      <c r="CB120" s="160">
        <f t="shared" si="694"/>
        <v>0</v>
      </c>
      <c r="CC120" s="206">
        <f t="shared" si="694"/>
        <v>0</v>
      </c>
      <c r="CD120" s="168">
        <f>SUM(CD115:CD119)</f>
        <v>0</v>
      </c>
      <c r="CE120" s="104">
        <f t="shared" ref="CE120:CO120" si="695">SUM(CE115:CE119)</f>
        <v>0</v>
      </c>
      <c r="CF120" s="104">
        <f t="shared" si="695"/>
        <v>0</v>
      </c>
      <c r="CG120" s="160">
        <f t="shared" si="695"/>
        <v>0</v>
      </c>
      <c r="CH120" s="160">
        <f t="shared" si="695"/>
        <v>0</v>
      </c>
      <c r="CI120" s="160">
        <f t="shared" si="695"/>
        <v>0</v>
      </c>
      <c r="CJ120" s="160">
        <f t="shared" si="695"/>
        <v>0</v>
      </c>
      <c r="CK120" s="160">
        <f t="shared" si="695"/>
        <v>0</v>
      </c>
      <c r="CL120" s="160">
        <f t="shared" si="695"/>
        <v>0</v>
      </c>
      <c r="CM120" s="160">
        <f t="shared" si="695"/>
        <v>0</v>
      </c>
      <c r="CN120" s="160">
        <f t="shared" si="695"/>
        <v>0</v>
      </c>
      <c r="CO120" s="206">
        <f t="shared" si="695"/>
        <v>0</v>
      </c>
      <c r="CP120" s="168"/>
      <c r="CQ120" s="160"/>
      <c r="CR120" s="160"/>
      <c r="CS120" s="160"/>
      <c r="CT120" s="160"/>
      <c r="CU120" s="160"/>
      <c r="CV120" s="160"/>
      <c r="CW120" s="160"/>
      <c r="CX120" s="160"/>
      <c r="CY120" s="160"/>
      <c r="CZ120" s="160"/>
      <c r="DA120" s="206"/>
      <c r="DB120" s="160">
        <f t="shared" ref="DB120:DQ120" si="696">DB99-DB101</f>
        <v>21188.989999999991</v>
      </c>
      <c r="DC120" s="160">
        <f t="shared" si="696"/>
        <v>1666.5599999999977</v>
      </c>
      <c r="DD120" s="160">
        <f t="shared" si="696"/>
        <v>-100785.96000000002</v>
      </c>
      <c r="DE120" s="160">
        <f>DE99-DE101</f>
        <v>-83720.350000000006</v>
      </c>
      <c r="DF120" s="160">
        <f t="shared" ref="DF120:DM120" si="697">DF99-DF101</f>
        <v>-123445.64000000001</v>
      </c>
      <c r="DG120" s="160">
        <v>-55587.97</v>
      </c>
      <c r="DH120" s="160">
        <f t="shared" si="697"/>
        <v>52588.05</v>
      </c>
      <c r="DI120" s="160">
        <f t="shared" si="697"/>
        <v>-28797.97</v>
      </c>
      <c r="DJ120" s="160">
        <f t="shared" si="697"/>
        <v>-3274.1100000000006</v>
      </c>
      <c r="DK120" s="160">
        <f t="shared" si="697"/>
        <v>16131.520000000004</v>
      </c>
      <c r="DL120" s="160">
        <f t="shared" si="697"/>
        <v>112445.42</v>
      </c>
      <c r="DM120" s="160">
        <f t="shared" si="697"/>
        <v>0</v>
      </c>
      <c r="DN120" s="160">
        <f t="shared" si="696"/>
        <v>-168517.44999999995</v>
      </c>
      <c r="DO120" s="160">
        <f t="shared" si="696"/>
        <v>-38298.199999999953</v>
      </c>
      <c r="DP120" s="160">
        <f t="shared" si="696"/>
        <v>-270712.16000000003</v>
      </c>
      <c r="DQ120" s="160">
        <f t="shared" si="696"/>
        <v>-46156.270000000019</v>
      </c>
      <c r="DR120" s="160">
        <f t="shared" ref="DR120:DY120" si="698">SUM(DR115:DR119)</f>
        <v>0</v>
      </c>
      <c r="DS120" s="160">
        <f t="shared" si="698"/>
        <v>0</v>
      </c>
      <c r="DT120" s="160">
        <f t="shared" si="698"/>
        <v>0</v>
      </c>
      <c r="DU120" s="160">
        <f t="shared" si="698"/>
        <v>0</v>
      </c>
      <c r="DV120" s="160">
        <f t="shared" si="698"/>
        <v>0</v>
      </c>
      <c r="DW120" s="160">
        <f t="shared" si="698"/>
        <v>0</v>
      </c>
      <c r="DX120" s="160">
        <f t="shared" si="698"/>
        <v>0</v>
      </c>
      <c r="DY120" s="206">
        <f t="shared" si="698"/>
        <v>0</v>
      </c>
    </row>
    <row r="121" spans="1:129" x14ac:dyDescent="0.25">
      <c r="A121" s="183" t="s">
        <v>19</v>
      </c>
      <c r="B121" s="173"/>
      <c r="C121" s="119"/>
      <c r="D121" s="119"/>
      <c r="E121" s="119"/>
      <c r="F121" s="94"/>
      <c r="G121" s="94"/>
      <c r="H121" s="94"/>
      <c r="I121" s="94"/>
      <c r="J121" s="94"/>
      <c r="K121" s="94"/>
      <c r="L121" s="173"/>
      <c r="M121" s="119"/>
      <c r="N121" s="119"/>
      <c r="O121" s="119"/>
      <c r="P121" s="94"/>
      <c r="Q121" s="94"/>
      <c r="R121" s="94"/>
      <c r="S121" s="94"/>
      <c r="T121" s="94"/>
      <c r="U121" s="94"/>
      <c r="V121" s="94"/>
      <c r="W121" s="94"/>
      <c r="X121" s="173"/>
      <c r="Y121" s="119"/>
      <c r="Z121" s="94"/>
      <c r="AA121" s="94"/>
      <c r="AB121" s="94"/>
      <c r="AC121" s="94"/>
      <c r="AD121" s="94"/>
      <c r="AE121" s="94"/>
      <c r="AF121" s="94"/>
      <c r="AG121" s="95"/>
      <c r="AH121" s="173"/>
      <c r="AI121" s="119"/>
      <c r="AJ121" s="119"/>
      <c r="AK121" s="119"/>
      <c r="AL121" s="94"/>
      <c r="AM121" s="94"/>
      <c r="AN121" s="94"/>
      <c r="AO121" s="94"/>
      <c r="AP121" s="94"/>
      <c r="AQ121" s="94"/>
      <c r="AR121" s="94"/>
      <c r="AS121" s="95"/>
      <c r="AT121" s="173"/>
      <c r="AU121" s="119"/>
      <c r="AV121" s="119"/>
      <c r="AW121" s="119"/>
      <c r="AX121" s="94"/>
      <c r="AY121" s="94"/>
      <c r="AZ121" s="94"/>
      <c r="BA121" s="94"/>
      <c r="BB121" s="94"/>
      <c r="BC121" s="94"/>
      <c r="BD121" s="94"/>
      <c r="BE121" s="95"/>
      <c r="BF121" s="173"/>
      <c r="BG121" s="119"/>
      <c r="BH121" s="119"/>
      <c r="BI121" s="119"/>
      <c r="BJ121" s="94"/>
      <c r="BK121" s="94"/>
      <c r="BL121" s="94"/>
      <c r="BM121" s="94"/>
      <c r="BN121" s="94"/>
      <c r="BO121" s="94"/>
      <c r="BP121" s="94"/>
      <c r="BQ121" s="95"/>
      <c r="BR121" s="173"/>
      <c r="BS121" s="119"/>
      <c r="BT121" s="119"/>
      <c r="BU121" s="119"/>
      <c r="BV121" s="94"/>
      <c r="BW121" s="94"/>
      <c r="BX121" s="94"/>
      <c r="BY121" s="94"/>
      <c r="BZ121" s="94"/>
      <c r="CA121" s="94"/>
      <c r="CB121" s="94"/>
      <c r="CC121" s="95"/>
      <c r="CD121" s="173"/>
      <c r="CE121" s="119"/>
      <c r="CF121" s="119"/>
      <c r="CG121" s="119"/>
      <c r="CH121" s="94"/>
      <c r="CI121" s="94"/>
      <c r="CJ121" s="94"/>
      <c r="CK121" s="94"/>
      <c r="CL121" s="94"/>
      <c r="CM121" s="94"/>
      <c r="CN121" s="94"/>
      <c r="CO121" s="95"/>
      <c r="CP121" s="173"/>
      <c r="CQ121" s="119"/>
      <c r="CR121" s="94"/>
      <c r="CS121" s="94"/>
      <c r="CT121" s="94"/>
      <c r="CU121" s="94"/>
      <c r="CV121" s="94"/>
      <c r="CW121" s="94"/>
      <c r="CX121" s="94"/>
      <c r="CY121" s="94"/>
      <c r="CZ121" s="94"/>
      <c r="DA121" s="95"/>
      <c r="DB121" s="173"/>
      <c r="DC121" s="119"/>
      <c r="DD121" s="119"/>
      <c r="DE121" s="119"/>
      <c r="DF121" s="94"/>
      <c r="DG121" s="94"/>
      <c r="DH121" s="94"/>
      <c r="DI121" s="94"/>
      <c r="DJ121" s="94"/>
      <c r="DK121" s="94"/>
      <c r="DL121" s="94"/>
      <c r="DM121" s="95"/>
      <c r="DN121" s="173"/>
      <c r="DO121" s="119"/>
      <c r="DP121" s="94"/>
      <c r="DQ121" s="94"/>
      <c r="DR121" s="94"/>
      <c r="DS121" s="94"/>
      <c r="DT121" s="94"/>
      <c r="DU121" s="94"/>
      <c r="DV121" s="94"/>
      <c r="DW121" s="94"/>
      <c r="DX121" s="94"/>
      <c r="DY121" s="95"/>
    </row>
    <row r="122" spans="1:129" x14ac:dyDescent="0.25">
      <c r="A122" s="181" t="s">
        <v>34</v>
      </c>
      <c r="B122" s="165">
        <v>0</v>
      </c>
      <c r="C122" s="100">
        <v>0</v>
      </c>
      <c r="D122" s="100">
        <v>0</v>
      </c>
      <c r="E122" s="100">
        <v>0</v>
      </c>
      <c r="F122" s="100">
        <v>0</v>
      </c>
      <c r="G122" s="100">
        <v>0</v>
      </c>
      <c r="H122" s="100">
        <v>0</v>
      </c>
      <c r="I122" s="100">
        <v>0</v>
      </c>
      <c r="J122" s="100">
        <v>0</v>
      </c>
      <c r="K122" s="100">
        <v>0</v>
      </c>
      <c r="L122" s="165">
        <v>0</v>
      </c>
      <c r="M122" s="100">
        <v>0</v>
      </c>
      <c r="N122" s="100">
        <v>0</v>
      </c>
      <c r="O122" s="100">
        <v>0</v>
      </c>
      <c r="P122" s="100">
        <v>0</v>
      </c>
      <c r="Q122" s="100">
        <v>0</v>
      </c>
      <c r="R122" s="100">
        <v>0</v>
      </c>
      <c r="S122" s="100">
        <v>0</v>
      </c>
      <c r="T122" s="100">
        <v>0</v>
      </c>
      <c r="U122" s="100">
        <v>0</v>
      </c>
      <c r="V122" s="100">
        <v>0</v>
      </c>
      <c r="W122" s="100">
        <v>0</v>
      </c>
      <c r="X122" s="165">
        <f t="shared" ref="X122:AG126" si="699">B122-N122</f>
        <v>0</v>
      </c>
      <c r="Y122" s="100">
        <f t="shared" si="699"/>
        <v>0</v>
      </c>
      <c r="Z122" s="100">
        <f t="shared" si="699"/>
        <v>0</v>
      </c>
      <c r="AA122" s="100">
        <f t="shared" si="699"/>
        <v>0</v>
      </c>
      <c r="AB122" s="100">
        <f t="shared" si="699"/>
        <v>0</v>
      </c>
      <c r="AC122" s="100">
        <f t="shared" si="699"/>
        <v>0</v>
      </c>
      <c r="AD122" s="100">
        <f t="shared" si="699"/>
        <v>0</v>
      </c>
      <c r="AE122" s="100">
        <f t="shared" si="699"/>
        <v>0</v>
      </c>
      <c r="AF122" s="100">
        <f t="shared" si="699"/>
        <v>0</v>
      </c>
      <c r="AG122" s="200">
        <f t="shared" si="699"/>
        <v>0</v>
      </c>
      <c r="AH122" s="165">
        <v>0</v>
      </c>
      <c r="AI122" s="100">
        <v>0</v>
      </c>
      <c r="AJ122" s="100">
        <v>0</v>
      </c>
      <c r="AK122" s="100">
        <v>0</v>
      </c>
      <c r="AL122" s="100">
        <v>0</v>
      </c>
      <c r="AM122" s="100">
        <v>0</v>
      </c>
      <c r="AN122" s="100">
        <v>0</v>
      </c>
      <c r="AO122" s="100">
        <v>0</v>
      </c>
      <c r="AP122" s="100">
        <v>0</v>
      </c>
      <c r="AQ122" s="100">
        <v>0</v>
      </c>
      <c r="AR122" s="100">
        <v>0</v>
      </c>
      <c r="AS122" s="200">
        <v>0</v>
      </c>
      <c r="AT122" s="165">
        <f>L122-AH122</f>
        <v>0</v>
      </c>
      <c r="AU122" s="100">
        <f t="shared" ref="AU122:BE126" si="700">M122-AI122</f>
        <v>0</v>
      </c>
      <c r="AV122" s="100">
        <f t="shared" si="700"/>
        <v>0</v>
      </c>
      <c r="AW122" s="100">
        <f t="shared" si="700"/>
        <v>0</v>
      </c>
      <c r="AX122" s="100">
        <f t="shared" si="700"/>
        <v>0</v>
      </c>
      <c r="AY122" s="100">
        <f t="shared" si="700"/>
        <v>0</v>
      </c>
      <c r="AZ122" s="100">
        <f t="shared" si="700"/>
        <v>0</v>
      </c>
      <c r="BA122" s="100">
        <f t="shared" si="700"/>
        <v>0</v>
      </c>
      <c r="BB122" s="100">
        <f t="shared" si="700"/>
        <v>0</v>
      </c>
      <c r="BC122" s="100">
        <f t="shared" si="700"/>
        <v>0</v>
      </c>
      <c r="BD122" s="100">
        <f t="shared" si="700"/>
        <v>0</v>
      </c>
      <c r="BE122" s="200">
        <f t="shared" si="700"/>
        <v>0</v>
      </c>
      <c r="BF122" s="165">
        <v>0</v>
      </c>
      <c r="BG122" s="100">
        <v>0</v>
      </c>
      <c r="BH122" s="100">
        <v>0</v>
      </c>
      <c r="BI122" s="100">
        <v>0</v>
      </c>
      <c r="BJ122" s="100">
        <v>0</v>
      </c>
      <c r="BK122" s="100">
        <v>0</v>
      </c>
      <c r="BL122" s="100">
        <v>0</v>
      </c>
      <c r="BM122" s="100">
        <v>0</v>
      </c>
      <c r="BN122" s="100">
        <v>0</v>
      </c>
      <c r="BO122" s="100">
        <v>0</v>
      </c>
      <c r="BP122" s="100">
        <v>0</v>
      </c>
      <c r="BQ122" s="200">
        <v>0</v>
      </c>
      <c r="BR122" s="165">
        <f t="shared" ref="BR122:BR133" si="701">AH122-BF122</f>
        <v>0</v>
      </c>
      <c r="BS122" s="100">
        <f t="shared" ref="BS122:BS126" si="702">AI122-BG122</f>
        <v>0</v>
      </c>
      <c r="BT122" s="100">
        <f t="shared" ref="BT122:BT126" si="703">AJ122-BH122</f>
        <v>0</v>
      </c>
      <c r="BU122" s="100">
        <f t="shared" ref="BU122:BU126" si="704">AK122-BI122</f>
        <v>0</v>
      </c>
      <c r="BV122" s="100">
        <f t="shared" ref="BV122:BV126" si="705">AL122-BJ122</f>
        <v>0</v>
      </c>
      <c r="BW122" s="100">
        <f t="shared" ref="BW122:BW126" si="706">AM122-BK122</f>
        <v>0</v>
      </c>
      <c r="BX122" s="100">
        <f t="shared" ref="BX122:BX126" si="707">AN122-BL122</f>
        <v>0</v>
      </c>
      <c r="BY122" s="100">
        <f t="shared" ref="BY122:BY126" si="708">AO122-BM122</f>
        <v>0</v>
      </c>
      <c r="BZ122" s="100">
        <f t="shared" ref="BZ122:BZ126" si="709">AP122-BN122</f>
        <v>0</v>
      </c>
      <c r="CA122" s="100">
        <f t="shared" ref="CA122:CA126" si="710">AQ122-BO122</f>
        <v>0</v>
      </c>
      <c r="CB122" s="100">
        <f t="shared" ref="CB122:CB126" si="711">AR122-BP122</f>
        <v>0</v>
      </c>
      <c r="CC122" s="200">
        <f t="shared" ref="CC122:CC126" si="712">AS122-BQ122</f>
        <v>0</v>
      </c>
      <c r="CD122" s="165">
        <v>0</v>
      </c>
      <c r="CE122" s="100">
        <v>0</v>
      </c>
      <c r="CF122" s="100">
        <v>0</v>
      </c>
      <c r="CG122" s="100">
        <v>0</v>
      </c>
      <c r="CH122" s="100">
        <v>0</v>
      </c>
      <c r="CI122" s="100">
        <v>0</v>
      </c>
      <c r="CJ122" s="100">
        <v>0</v>
      </c>
      <c r="CK122" s="100">
        <v>0</v>
      </c>
      <c r="CL122" s="100">
        <v>0</v>
      </c>
      <c r="CM122" s="100">
        <v>47</v>
      </c>
      <c r="CN122" s="100">
        <v>51</v>
      </c>
      <c r="CO122" s="200">
        <v>55</v>
      </c>
      <c r="CP122" s="165"/>
      <c r="CQ122" s="100"/>
      <c r="CR122" s="100"/>
      <c r="CS122" s="100"/>
      <c r="CT122" s="100"/>
      <c r="CU122" s="100"/>
      <c r="CV122" s="100"/>
      <c r="CW122" s="100"/>
      <c r="CX122" s="100"/>
      <c r="CY122" s="100"/>
      <c r="CZ122" s="100"/>
      <c r="DA122" s="200"/>
      <c r="DB122" s="165">
        <v>62</v>
      </c>
      <c r="DC122" s="100">
        <v>64</v>
      </c>
      <c r="DD122" s="100">
        <v>64</v>
      </c>
      <c r="DE122" s="100">
        <v>64</v>
      </c>
      <c r="DF122" s="100">
        <f>1+128</f>
        <v>129</v>
      </c>
      <c r="DG122" s="100">
        <v>130</v>
      </c>
      <c r="DH122" s="100">
        <v>134</v>
      </c>
      <c r="DI122" s="100">
        <v>137</v>
      </c>
      <c r="DJ122" s="100">
        <v>141</v>
      </c>
      <c r="DK122" s="100">
        <v>144</v>
      </c>
      <c r="DL122" s="100">
        <v>147</v>
      </c>
      <c r="DM122" s="200"/>
      <c r="DN122" s="165">
        <f>DB122-CD122</f>
        <v>62</v>
      </c>
      <c r="DO122" s="100">
        <f t="shared" ref="DO122:DY126" si="713">DC122-CE122</f>
        <v>64</v>
      </c>
      <c r="DP122" s="100">
        <f t="shared" si="713"/>
        <v>64</v>
      </c>
      <c r="DQ122" s="100">
        <f t="shared" si="713"/>
        <v>64</v>
      </c>
      <c r="DR122" s="100">
        <f t="shared" si="713"/>
        <v>129</v>
      </c>
      <c r="DS122" s="100">
        <f t="shared" si="713"/>
        <v>130</v>
      </c>
      <c r="DT122" s="100">
        <f t="shared" si="713"/>
        <v>134</v>
      </c>
      <c r="DU122" s="100">
        <f t="shared" si="713"/>
        <v>137</v>
      </c>
      <c r="DV122" s="100">
        <f t="shared" si="713"/>
        <v>141</v>
      </c>
      <c r="DW122" s="100">
        <f t="shared" si="713"/>
        <v>97</v>
      </c>
      <c r="DX122" s="100">
        <f t="shared" si="713"/>
        <v>96</v>
      </c>
      <c r="DY122" s="200">
        <f t="shared" si="713"/>
        <v>-55</v>
      </c>
    </row>
    <row r="123" spans="1:129" x14ac:dyDescent="0.25">
      <c r="A123" s="181" t="s">
        <v>35</v>
      </c>
      <c r="B123" s="165">
        <v>0</v>
      </c>
      <c r="C123" s="100">
        <v>0</v>
      </c>
      <c r="D123" s="100">
        <v>0</v>
      </c>
      <c r="E123" s="100">
        <v>0</v>
      </c>
      <c r="F123" s="100">
        <v>0</v>
      </c>
      <c r="G123" s="100">
        <v>0</v>
      </c>
      <c r="H123" s="100">
        <v>0</v>
      </c>
      <c r="I123" s="100">
        <v>0</v>
      </c>
      <c r="J123" s="100">
        <v>0</v>
      </c>
      <c r="K123" s="100">
        <v>0</v>
      </c>
      <c r="L123" s="165">
        <v>0</v>
      </c>
      <c r="M123" s="100">
        <v>0</v>
      </c>
      <c r="N123" s="100">
        <v>0</v>
      </c>
      <c r="O123" s="100">
        <v>0</v>
      </c>
      <c r="P123" s="100">
        <v>0</v>
      </c>
      <c r="Q123" s="100">
        <v>0</v>
      </c>
      <c r="R123" s="100">
        <v>0</v>
      </c>
      <c r="S123" s="100">
        <v>0</v>
      </c>
      <c r="T123" s="100">
        <v>0</v>
      </c>
      <c r="U123" s="100">
        <v>0</v>
      </c>
      <c r="V123" s="100">
        <v>0</v>
      </c>
      <c r="W123" s="100">
        <v>0</v>
      </c>
      <c r="X123" s="165">
        <f t="shared" si="699"/>
        <v>0</v>
      </c>
      <c r="Y123" s="100">
        <f t="shared" si="699"/>
        <v>0</v>
      </c>
      <c r="Z123" s="100">
        <f t="shared" si="699"/>
        <v>0</v>
      </c>
      <c r="AA123" s="100">
        <f t="shared" si="699"/>
        <v>0</v>
      </c>
      <c r="AB123" s="100">
        <f t="shared" si="699"/>
        <v>0</v>
      </c>
      <c r="AC123" s="100">
        <f t="shared" si="699"/>
        <v>0</v>
      </c>
      <c r="AD123" s="100">
        <f t="shared" si="699"/>
        <v>0</v>
      </c>
      <c r="AE123" s="100">
        <f t="shared" si="699"/>
        <v>0</v>
      </c>
      <c r="AF123" s="100">
        <f t="shared" si="699"/>
        <v>0</v>
      </c>
      <c r="AG123" s="200">
        <f t="shared" si="699"/>
        <v>0</v>
      </c>
      <c r="AH123" s="165">
        <v>0</v>
      </c>
      <c r="AI123" s="100">
        <v>0</v>
      </c>
      <c r="AJ123" s="100">
        <v>0</v>
      </c>
      <c r="AK123" s="100">
        <v>0</v>
      </c>
      <c r="AL123" s="100">
        <v>0</v>
      </c>
      <c r="AM123" s="100">
        <v>0</v>
      </c>
      <c r="AN123" s="100">
        <v>0</v>
      </c>
      <c r="AO123" s="100">
        <v>0</v>
      </c>
      <c r="AP123" s="100">
        <v>0</v>
      </c>
      <c r="AQ123" s="100">
        <v>0</v>
      </c>
      <c r="AR123" s="100">
        <v>0</v>
      </c>
      <c r="AS123" s="200">
        <v>0</v>
      </c>
      <c r="AT123" s="165">
        <f t="shared" ref="AT123:AT126" si="714">L123-AH123</f>
        <v>0</v>
      </c>
      <c r="AU123" s="100">
        <f t="shared" si="700"/>
        <v>0</v>
      </c>
      <c r="AV123" s="100">
        <f t="shared" si="700"/>
        <v>0</v>
      </c>
      <c r="AW123" s="100">
        <f t="shared" si="700"/>
        <v>0</v>
      </c>
      <c r="AX123" s="100">
        <f t="shared" si="700"/>
        <v>0</v>
      </c>
      <c r="AY123" s="100">
        <f t="shared" si="700"/>
        <v>0</v>
      </c>
      <c r="AZ123" s="100">
        <f t="shared" si="700"/>
        <v>0</v>
      </c>
      <c r="BA123" s="100">
        <f t="shared" si="700"/>
        <v>0</v>
      </c>
      <c r="BB123" s="100">
        <f t="shared" si="700"/>
        <v>0</v>
      </c>
      <c r="BC123" s="100">
        <f t="shared" si="700"/>
        <v>0</v>
      </c>
      <c r="BD123" s="100">
        <f t="shared" si="700"/>
        <v>0</v>
      </c>
      <c r="BE123" s="200">
        <f t="shared" si="700"/>
        <v>0</v>
      </c>
      <c r="BF123" s="165">
        <v>0</v>
      </c>
      <c r="BG123" s="100">
        <v>0</v>
      </c>
      <c r="BH123" s="100">
        <v>0</v>
      </c>
      <c r="BI123" s="100">
        <v>0</v>
      </c>
      <c r="BJ123" s="100">
        <v>0</v>
      </c>
      <c r="BK123" s="100">
        <v>0</v>
      </c>
      <c r="BL123" s="100">
        <v>0</v>
      </c>
      <c r="BM123" s="100">
        <v>0</v>
      </c>
      <c r="BN123" s="100">
        <v>0</v>
      </c>
      <c r="BO123" s="100">
        <v>0</v>
      </c>
      <c r="BP123" s="100">
        <v>0</v>
      </c>
      <c r="BQ123" s="200">
        <v>0</v>
      </c>
      <c r="BR123" s="165">
        <f t="shared" si="701"/>
        <v>0</v>
      </c>
      <c r="BS123" s="100">
        <f t="shared" si="702"/>
        <v>0</v>
      </c>
      <c r="BT123" s="100">
        <f t="shared" si="703"/>
        <v>0</v>
      </c>
      <c r="BU123" s="100">
        <f t="shared" si="704"/>
        <v>0</v>
      </c>
      <c r="BV123" s="100">
        <f t="shared" si="705"/>
        <v>0</v>
      </c>
      <c r="BW123" s="100">
        <f t="shared" si="706"/>
        <v>0</v>
      </c>
      <c r="BX123" s="100">
        <f t="shared" si="707"/>
        <v>0</v>
      </c>
      <c r="BY123" s="100">
        <f t="shared" si="708"/>
        <v>0</v>
      </c>
      <c r="BZ123" s="100">
        <f t="shared" si="709"/>
        <v>0</v>
      </c>
      <c r="CA123" s="100">
        <f t="shared" si="710"/>
        <v>0</v>
      </c>
      <c r="CB123" s="100">
        <f t="shared" si="711"/>
        <v>0</v>
      </c>
      <c r="CC123" s="200">
        <f t="shared" si="712"/>
        <v>0</v>
      </c>
      <c r="CD123" s="165">
        <v>0</v>
      </c>
      <c r="CE123" s="100">
        <v>0</v>
      </c>
      <c r="CF123" s="100">
        <v>0</v>
      </c>
      <c r="CG123" s="100">
        <v>0</v>
      </c>
      <c r="CH123" s="100">
        <v>0</v>
      </c>
      <c r="CI123" s="100">
        <v>0</v>
      </c>
      <c r="CJ123" s="100">
        <v>0</v>
      </c>
      <c r="CK123" s="100">
        <v>0</v>
      </c>
      <c r="CL123" s="100">
        <v>0</v>
      </c>
      <c r="CM123" s="100">
        <v>4</v>
      </c>
      <c r="CN123" s="100">
        <v>4</v>
      </c>
      <c r="CO123" s="200">
        <v>4</v>
      </c>
      <c r="CP123" s="165"/>
      <c r="CQ123" s="100"/>
      <c r="CR123" s="100"/>
      <c r="CS123" s="100"/>
      <c r="CT123" s="100"/>
      <c r="CU123" s="100"/>
      <c r="CV123" s="100"/>
      <c r="CW123" s="100"/>
      <c r="CX123" s="100"/>
      <c r="CY123" s="100"/>
      <c r="CZ123" s="100"/>
      <c r="DA123" s="200"/>
      <c r="DB123" s="165">
        <v>20</v>
      </c>
      <c r="DC123" s="100">
        <v>30</v>
      </c>
      <c r="DD123" s="100">
        <v>42</v>
      </c>
      <c r="DE123" s="100">
        <v>56</v>
      </c>
      <c r="DF123" s="100">
        <v>64</v>
      </c>
      <c r="DG123" s="100">
        <v>64</v>
      </c>
      <c r="DH123" s="100">
        <v>66</v>
      </c>
      <c r="DI123" s="100">
        <v>68</v>
      </c>
      <c r="DJ123" s="100">
        <v>71</v>
      </c>
      <c r="DK123" s="100">
        <v>72</v>
      </c>
      <c r="DL123" s="100">
        <v>74</v>
      </c>
      <c r="DM123" s="200"/>
      <c r="DN123" s="165">
        <f t="shared" ref="DN123:DN126" si="715">DB123-CD123</f>
        <v>20</v>
      </c>
      <c r="DO123" s="100">
        <f t="shared" si="713"/>
        <v>30</v>
      </c>
      <c r="DP123" s="100">
        <f t="shared" si="713"/>
        <v>42</v>
      </c>
      <c r="DQ123" s="100">
        <f t="shared" si="713"/>
        <v>56</v>
      </c>
      <c r="DR123" s="100">
        <f t="shared" si="713"/>
        <v>64</v>
      </c>
      <c r="DS123" s="100">
        <f t="shared" si="713"/>
        <v>64</v>
      </c>
      <c r="DT123" s="100">
        <f t="shared" si="713"/>
        <v>66</v>
      </c>
      <c r="DU123" s="100">
        <f t="shared" si="713"/>
        <v>68</v>
      </c>
      <c r="DV123" s="100">
        <f t="shared" si="713"/>
        <v>71</v>
      </c>
      <c r="DW123" s="100">
        <f t="shared" si="713"/>
        <v>68</v>
      </c>
      <c r="DX123" s="100">
        <f t="shared" si="713"/>
        <v>70</v>
      </c>
      <c r="DY123" s="200">
        <f t="shared" si="713"/>
        <v>-4</v>
      </c>
    </row>
    <row r="124" spans="1:129" x14ac:dyDescent="0.25">
      <c r="A124" s="181" t="s">
        <v>36</v>
      </c>
      <c r="B124" s="165">
        <v>0</v>
      </c>
      <c r="C124" s="100">
        <v>0</v>
      </c>
      <c r="D124" s="100">
        <v>0</v>
      </c>
      <c r="E124" s="100">
        <v>0</v>
      </c>
      <c r="F124" s="100">
        <v>0</v>
      </c>
      <c r="G124" s="100">
        <v>0</v>
      </c>
      <c r="H124" s="100">
        <v>0</v>
      </c>
      <c r="I124" s="100">
        <v>0</v>
      </c>
      <c r="J124" s="100">
        <v>0</v>
      </c>
      <c r="K124" s="100">
        <v>0</v>
      </c>
      <c r="L124" s="165">
        <v>0</v>
      </c>
      <c r="M124" s="100">
        <v>0</v>
      </c>
      <c r="N124" s="100">
        <v>0</v>
      </c>
      <c r="O124" s="100">
        <v>0</v>
      </c>
      <c r="P124" s="100">
        <v>0</v>
      </c>
      <c r="Q124" s="100">
        <v>0</v>
      </c>
      <c r="R124" s="100">
        <v>0</v>
      </c>
      <c r="S124" s="100">
        <v>0</v>
      </c>
      <c r="T124" s="100">
        <v>0</v>
      </c>
      <c r="U124" s="100">
        <v>0</v>
      </c>
      <c r="V124" s="100">
        <v>0</v>
      </c>
      <c r="W124" s="100">
        <v>0</v>
      </c>
      <c r="X124" s="165">
        <f t="shared" si="699"/>
        <v>0</v>
      </c>
      <c r="Y124" s="100">
        <f t="shared" si="699"/>
        <v>0</v>
      </c>
      <c r="Z124" s="100">
        <f t="shared" si="699"/>
        <v>0</v>
      </c>
      <c r="AA124" s="100">
        <f t="shared" si="699"/>
        <v>0</v>
      </c>
      <c r="AB124" s="100">
        <f t="shared" si="699"/>
        <v>0</v>
      </c>
      <c r="AC124" s="100">
        <f t="shared" si="699"/>
        <v>0</v>
      </c>
      <c r="AD124" s="100">
        <f t="shared" si="699"/>
        <v>0</v>
      </c>
      <c r="AE124" s="100">
        <f t="shared" si="699"/>
        <v>0</v>
      </c>
      <c r="AF124" s="100">
        <f t="shared" si="699"/>
        <v>0</v>
      </c>
      <c r="AG124" s="200">
        <f t="shared" si="699"/>
        <v>0</v>
      </c>
      <c r="AH124" s="165">
        <v>0</v>
      </c>
      <c r="AI124" s="100">
        <v>0</v>
      </c>
      <c r="AJ124" s="100">
        <v>0</v>
      </c>
      <c r="AK124" s="100">
        <v>0</v>
      </c>
      <c r="AL124" s="100">
        <v>0</v>
      </c>
      <c r="AM124" s="100">
        <v>0</v>
      </c>
      <c r="AN124" s="100">
        <v>0</v>
      </c>
      <c r="AO124" s="100">
        <v>0</v>
      </c>
      <c r="AP124" s="100">
        <v>0</v>
      </c>
      <c r="AQ124" s="100">
        <v>0</v>
      </c>
      <c r="AR124" s="100">
        <v>0</v>
      </c>
      <c r="AS124" s="200">
        <v>0</v>
      </c>
      <c r="AT124" s="165">
        <f t="shared" si="714"/>
        <v>0</v>
      </c>
      <c r="AU124" s="100">
        <f t="shared" si="700"/>
        <v>0</v>
      </c>
      <c r="AV124" s="100">
        <f t="shared" si="700"/>
        <v>0</v>
      </c>
      <c r="AW124" s="100">
        <f t="shared" si="700"/>
        <v>0</v>
      </c>
      <c r="AX124" s="100">
        <f t="shared" si="700"/>
        <v>0</v>
      </c>
      <c r="AY124" s="100">
        <f t="shared" si="700"/>
        <v>0</v>
      </c>
      <c r="AZ124" s="100">
        <f t="shared" si="700"/>
        <v>0</v>
      </c>
      <c r="BA124" s="100">
        <f t="shared" si="700"/>
        <v>0</v>
      </c>
      <c r="BB124" s="100">
        <f t="shared" si="700"/>
        <v>0</v>
      </c>
      <c r="BC124" s="100">
        <f t="shared" si="700"/>
        <v>0</v>
      </c>
      <c r="BD124" s="100">
        <f t="shared" si="700"/>
        <v>0</v>
      </c>
      <c r="BE124" s="200">
        <f t="shared" si="700"/>
        <v>0</v>
      </c>
      <c r="BF124" s="165">
        <v>0</v>
      </c>
      <c r="BG124" s="100">
        <v>0</v>
      </c>
      <c r="BH124" s="100">
        <v>0</v>
      </c>
      <c r="BI124" s="100">
        <v>0</v>
      </c>
      <c r="BJ124" s="100">
        <v>0</v>
      </c>
      <c r="BK124" s="100">
        <v>0</v>
      </c>
      <c r="BL124" s="100">
        <v>0</v>
      </c>
      <c r="BM124" s="100">
        <v>0</v>
      </c>
      <c r="BN124" s="100">
        <v>0</v>
      </c>
      <c r="BO124" s="100">
        <v>0</v>
      </c>
      <c r="BP124" s="100">
        <v>0</v>
      </c>
      <c r="BQ124" s="200">
        <v>0</v>
      </c>
      <c r="BR124" s="165">
        <f t="shared" si="701"/>
        <v>0</v>
      </c>
      <c r="BS124" s="100">
        <f t="shared" si="702"/>
        <v>0</v>
      </c>
      <c r="BT124" s="100">
        <f t="shared" si="703"/>
        <v>0</v>
      </c>
      <c r="BU124" s="100">
        <f t="shared" si="704"/>
        <v>0</v>
      </c>
      <c r="BV124" s="100">
        <f t="shared" si="705"/>
        <v>0</v>
      </c>
      <c r="BW124" s="100">
        <f t="shared" si="706"/>
        <v>0</v>
      </c>
      <c r="BX124" s="100">
        <f t="shared" si="707"/>
        <v>0</v>
      </c>
      <c r="BY124" s="100">
        <f t="shared" si="708"/>
        <v>0</v>
      </c>
      <c r="BZ124" s="100">
        <f t="shared" si="709"/>
        <v>0</v>
      </c>
      <c r="CA124" s="100">
        <f t="shared" si="710"/>
        <v>0</v>
      </c>
      <c r="CB124" s="100">
        <f t="shared" si="711"/>
        <v>0</v>
      </c>
      <c r="CC124" s="200">
        <f t="shared" si="712"/>
        <v>0</v>
      </c>
      <c r="CD124" s="165">
        <v>0</v>
      </c>
      <c r="CE124" s="100">
        <v>0</v>
      </c>
      <c r="CF124" s="100">
        <v>0</v>
      </c>
      <c r="CG124" s="100">
        <v>0</v>
      </c>
      <c r="CH124" s="100">
        <v>0</v>
      </c>
      <c r="CI124" s="100">
        <v>0</v>
      </c>
      <c r="CJ124" s="100">
        <v>0</v>
      </c>
      <c r="CK124" s="100">
        <v>0</v>
      </c>
      <c r="CL124" s="100">
        <v>0</v>
      </c>
      <c r="CM124" s="100">
        <v>0</v>
      </c>
      <c r="CN124" s="100">
        <v>0</v>
      </c>
      <c r="CO124" s="200">
        <v>30</v>
      </c>
      <c r="CP124" s="165"/>
      <c r="CQ124" s="100"/>
      <c r="CR124" s="100"/>
      <c r="CS124" s="100"/>
      <c r="CT124" s="100"/>
      <c r="CU124" s="100"/>
      <c r="CV124" s="100"/>
      <c r="CW124" s="100"/>
      <c r="CX124" s="100"/>
      <c r="CY124" s="100"/>
      <c r="CZ124" s="100"/>
      <c r="DA124" s="200"/>
      <c r="DB124" s="165">
        <v>0</v>
      </c>
      <c r="DC124" s="100">
        <v>1</v>
      </c>
      <c r="DD124" s="100">
        <v>0</v>
      </c>
      <c r="DE124" s="100">
        <v>0</v>
      </c>
      <c r="DF124" s="100">
        <v>0</v>
      </c>
      <c r="DG124" s="100">
        <v>0</v>
      </c>
      <c r="DH124" s="100">
        <v>0</v>
      </c>
      <c r="DI124" s="100">
        <v>0</v>
      </c>
      <c r="DJ124" s="100">
        <v>0</v>
      </c>
      <c r="DK124" s="100">
        <v>0</v>
      </c>
      <c r="DL124" s="100">
        <v>0</v>
      </c>
      <c r="DM124" s="200"/>
      <c r="DN124" s="165">
        <f t="shared" si="715"/>
        <v>0</v>
      </c>
      <c r="DO124" s="100">
        <f t="shared" si="713"/>
        <v>1</v>
      </c>
      <c r="DP124" s="100">
        <f t="shared" si="713"/>
        <v>0</v>
      </c>
      <c r="DQ124" s="100">
        <f t="shared" si="713"/>
        <v>0</v>
      </c>
      <c r="DR124" s="100">
        <f t="shared" si="713"/>
        <v>0</v>
      </c>
      <c r="DS124" s="100">
        <f t="shared" si="713"/>
        <v>0</v>
      </c>
      <c r="DT124" s="100">
        <f t="shared" si="713"/>
        <v>0</v>
      </c>
      <c r="DU124" s="100">
        <f t="shared" si="713"/>
        <v>0</v>
      </c>
      <c r="DV124" s="100">
        <f t="shared" si="713"/>
        <v>0</v>
      </c>
      <c r="DW124" s="100">
        <f t="shared" si="713"/>
        <v>0</v>
      </c>
      <c r="DX124" s="100">
        <f t="shared" si="713"/>
        <v>0</v>
      </c>
      <c r="DY124" s="200">
        <f t="shared" si="713"/>
        <v>-30</v>
      </c>
    </row>
    <row r="125" spans="1:129" x14ac:dyDescent="0.25">
      <c r="A125" s="181" t="s">
        <v>37</v>
      </c>
      <c r="B125" s="165">
        <v>0</v>
      </c>
      <c r="C125" s="100">
        <v>0</v>
      </c>
      <c r="D125" s="100">
        <v>0</v>
      </c>
      <c r="E125" s="100">
        <v>0</v>
      </c>
      <c r="F125" s="100">
        <v>0</v>
      </c>
      <c r="G125" s="100">
        <v>0</v>
      </c>
      <c r="H125" s="100">
        <v>0</v>
      </c>
      <c r="I125" s="100">
        <v>0</v>
      </c>
      <c r="J125" s="100">
        <v>0</v>
      </c>
      <c r="K125" s="100">
        <v>0</v>
      </c>
      <c r="L125" s="165">
        <v>0</v>
      </c>
      <c r="M125" s="100">
        <v>0</v>
      </c>
      <c r="N125" s="100">
        <v>0</v>
      </c>
      <c r="O125" s="100">
        <v>0</v>
      </c>
      <c r="P125" s="100">
        <v>0</v>
      </c>
      <c r="Q125" s="100">
        <v>0</v>
      </c>
      <c r="R125" s="100">
        <v>0</v>
      </c>
      <c r="S125" s="100">
        <v>0</v>
      </c>
      <c r="T125" s="100">
        <v>0</v>
      </c>
      <c r="U125" s="100">
        <v>0</v>
      </c>
      <c r="V125" s="100">
        <v>0</v>
      </c>
      <c r="W125" s="100">
        <v>0</v>
      </c>
      <c r="X125" s="165">
        <f t="shared" si="699"/>
        <v>0</v>
      </c>
      <c r="Y125" s="100">
        <f t="shared" si="699"/>
        <v>0</v>
      </c>
      <c r="Z125" s="100">
        <f t="shared" si="699"/>
        <v>0</v>
      </c>
      <c r="AA125" s="100">
        <f t="shared" si="699"/>
        <v>0</v>
      </c>
      <c r="AB125" s="100">
        <f t="shared" si="699"/>
        <v>0</v>
      </c>
      <c r="AC125" s="100">
        <f t="shared" si="699"/>
        <v>0</v>
      </c>
      <c r="AD125" s="100">
        <f t="shared" si="699"/>
        <v>0</v>
      </c>
      <c r="AE125" s="100">
        <f t="shared" si="699"/>
        <v>0</v>
      </c>
      <c r="AF125" s="100">
        <f t="shared" si="699"/>
        <v>0</v>
      </c>
      <c r="AG125" s="200">
        <f t="shared" si="699"/>
        <v>0</v>
      </c>
      <c r="AH125" s="165">
        <v>0</v>
      </c>
      <c r="AI125" s="100">
        <v>0</v>
      </c>
      <c r="AJ125" s="100">
        <v>0</v>
      </c>
      <c r="AK125" s="100">
        <v>0</v>
      </c>
      <c r="AL125" s="100">
        <v>0</v>
      </c>
      <c r="AM125" s="100">
        <v>0</v>
      </c>
      <c r="AN125" s="100">
        <v>0</v>
      </c>
      <c r="AO125" s="100">
        <v>0</v>
      </c>
      <c r="AP125" s="100">
        <v>0</v>
      </c>
      <c r="AQ125" s="100">
        <v>0</v>
      </c>
      <c r="AR125" s="100">
        <v>0</v>
      </c>
      <c r="AS125" s="200">
        <v>0</v>
      </c>
      <c r="AT125" s="165">
        <f t="shared" si="714"/>
        <v>0</v>
      </c>
      <c r="AU125" s="100">
        <f t="shared" si="700"/>
        <v>0</v>
      </c>
      <c r="AV125" s="100">
        <f t="shared" si="700"/>
        <v>0</v>
      </c>
      <c r="AW125" s="100">
        <f t="shared" si="700"/>
        <v>0</v>
      </c>
      <c r="AX125" s="100">
        <f t="shared" si="700"/>
        <v>0</v>
      </c>
      <c r="AY125" s="100">
        <f t="shared" si="700"/>
        <v>0</v>
      </c>
      <c r="AZ125" s="100">
        <f t="shared" si="700"/>
        <v>0</v>
      </c>
      <c r="BA125" s="100">
        <f t="shared" si="700"/>
        <v>0</v>
      </c>
      <c r="BB125" s="100">
        <f t="shared" si="700"/>
        <v>0</v>
      </c>
      <c r="BC125" s="100">
        <f t="shared" si="700"/>
        <v>0</v>
      </c>
      <c r="BD125" s="100">
        <f t="shared" si="700"/>
        <v>0</v>
      </c>
      <c r="BE125" s="200">
        <f t="shared" si="700"/>
        <v>0</v>
      </c>
      <c r="BF125" s="165">
        <v>0</v>
      </c>
      <c r="BG125" s="100">
        <v>0</v>
      </c>
      <c r="BH125" s="100">
        <v>0</v>
      </c>
      <c r="BI125" s="100">
        <v>0</v>
      </c>
      <c r="BJ125" s="100">
        <v>0</v>
      </c>
      <c r="BK125" s="100">
        <v>0</v>
      </c>
      <c r="BL125" s="100">
        <v>0</v>
      </c>
      <c r="BM125" s="100">
        <v>0</v>
      </c>
      <c r="BN125" s="100">
        <v>0</v>
      </c>
      <c r="BO125" s="100">
        <v>0</v>
      </c>
      <c r="BP125" s="100">
        <v>0</v>
      </c>
      <c r="BQ125" s="200">
        <v>0</v>
      </c>
      <c r="BR125" s="165">
        <f t="shared" si="701"/>
        <v>0</v>
      </c>
      <c r="BS125" s="100">
        <f t="shared" si="702"/>
        <v>0</v>
      </c>
      <c r="BT125" s="100">
        <f t="shared" si="703"/>
        <v>0</v>
      </c>
      <c r="BU125" s="100">
        <f t="shared" si="704"/>
        <v>0</v>
      </c>
      <c r="BV125" s="100">
        <f t="shared" si="705"/>
        <v>0</v>
      </c>
      <c r="BW125" s="100">
        <f t="shared" si="706"/>
        <v>0</v>
      </c>
      <c r="BX125" s="100">
        <f t="shared" si="707"/>
        <v>0</v>
      </c>
      <c r="BY125" s="100">
        <f t="shared" si="708"/>
        <v>0</v>
      </c>
      <c r="BZ125" s="100">
        <f t="shared" si="709"/>
        <v>0</v>
      </c>
      <c r="CA125" s="100">
        <f t="shared" si="710"/>
        <v>0</v>
      </c>
      <c r="CB125" s="100">
        <f t="shared" si="711"/>
        <v>0</v>
      </c>
      <c r="CC125" s="200">
        <f t="shared" si="712"/>
        <v>0</v>
      </c>
      <c r="CD125" s="165">
        <v>0</v>
      </c>
      <c r="CE125" s="100">
        <v>0</v>
      </c>
      <c r="CF125" s="100">
        <v>0</v>
      </c>
      <c r="CG125" s="100">
        <v>0</v>
      </c>
      <c r="CH125" s="100">
        <v>0</v>
      </c>
      <c r="CI125" s="100">
        <v>0</v>
      </c>
      <c r="CJ125" s="100">
        <v>0</v>
      </c>
      <c r="CK125" s="100">
        <v>0</v>
      </c>
      <c r="CL125" s="100">
        <v>0</v>
      </c>
      <c r="CM125" s="100">
        <v>0</v>
      </c>
      <c r="CN125" s="100">
        <v>0</v>
      </c>
      <c r="CO125" s="200">
        <v>1</v>
      </c>
      <c r="CP125" s="165"/>
      <c r="CQ125" s="100"/>
      <c r="CR125" s="100"/>
      <c r="CS125" s="100"/>
      <c r="CT125" s="100"/>
      <c r="CU125" s="100"/>
      <c r="CV125" s="100"/>
      <c r="CW125" s="100"/>
      <c r="CX125" s="100"/>
      <c r="CY125" s="100"/>
      <c r="CZ125" s="100"/>
      <c r="DA125" s="200"/>
      <c r="DB125" s="165">
        <v>0</v>
      </c>
      <c r="DC125" s="100">
        <v>0</v>
      </c>
      <c r="DD125" s="100">
        <v>0</v>
      </c>
      <c r="DE125" s="100">
        <v>0</v>
      </c>
      <c r="DF125" s="100">
        <v>0</v>
      </c>
      <c r="DG125" s="100">
        <v>0</v>
      </c>
      <c r="DH125" s="100">
        <v>0</v>
      </c>
      <c r="DI125" s="100">
        <v>0</v>
      </c>
      <c r="DJ125" s="100">
        <v>0</v>
      </c>
      <c r="DK125" s="100">
        <v>0</v>
      </c>
      <c r="DL125" s="100">
        <v>0</v>
      </c>
      <c r="DM125" s="200"/>
      <c r="DN125" s="165">
        <f t="shared" si="715"/>
        <v>0</v>
      </c>
      <c r="DO125" s="100">
        <f t="shared" si="713"/>
        <v>0</v>
      </c>
      <c r="DP125" s="100">
        <f t="shared" si="713"/>
        <v>0</v>
      </c>
      <c r="DQ125" s="100">
        <f t="shared" si="713"/>
        <v>0</v>
      </c>
      <c r="DR125" s="100">
        <f t="shared" si="713"/>
        <v>0</v>
      </c>
      <c r="DS125" s="100">
        <f t="shared" si="713"/>
        <v>0</v>
      </c>
      <c r="DT125" s="100">
        <f t="shared" si="713"/>
        <v>0</v>
      </c>
      <c r="DU125" s="100">
        <f t="shared" si="713"/>
        <v>0</v>
      </c>
      <c r="DV125" s="100">
        <f t="shared" si="713"/>
        <v>0</v>
      </c>
      <c r="DW125" s="100">
        <f t="shared" si="713"/>
        <v>0</v>
      </c>
      <c r="DX125" s="100">
        <f t="shared" si="713"/>
        <v>0</v>
      </c>
      <c r="DY125" s="200">
        <f t="shared" si="713"/>
        <v>-1</v>
      </c>
    </row>
    <row r="126" spans="1:129" x14ac:dyDescent="0.25">
      <c r="A126" s="181" t="s">
        <v>38</v>
      </c>
      <c r="B126" s="165">
        <v>0</v>
      </c>
      <c r="C126" s="100">
        <v>0</v>
      </c>
      <c r="D126" s="100">
        <v>0</v>
      </c>
      <c r="E126" s="100">
        <v>0</v>
      </c>
      <c r="F126" s="100">
        <v>0</v>
      </c>
      <c r="G126" s="100">
        <v>0</v>
      </c>
      <c r="H126" s="100">
        <v>0</v>
      </c>
      <c r="I126" s="100">
        <v>0</v>
      </c>
      <c r="J126" s="100">
        <v>0</v>
      </c>
      <c r="K126" s="100">
        <v>0</v>
      </c>
      <c r="L126" s="165">
        <v>0</v>
      </c>
      <c r="M126" s="100">
        <v>0</v>
      </c>
      <c r="N126" s="100">
        <v>0</v>
      </c>
      <c r="O126" s="100">
        <v>0</v>
      </c>
      <c r="P126" s="100">
        <v>0</v>
      </c>
      <c r="Q126" s="100">
        <v>0</v>
      </c>
      <c r="R126" s="100">
        <v>0</v>
      </c>
      <c r="S126" s="100">
        <v>0</v>
      </c>
      <c r="T126" s="100">
        <v>0</v>
      </c>
      <c r="U126" s="100">
        <v>0</v>
      </c>
      <c r="V126" s="100">
        <v>0</v>
      </c>
      <c r="W126" s="100">
        <v>0</v>
      </c>
      <c r="X126" s="165">
        <f t="shared" si="699"/>
        <v>0</v>
      </c>
      <c r="Y126" s="100">
        <f t="shared" si="699"/>
        <v>0</v>
      </c>
      <c r="Z126" s="100">
        <f t="shared" si="699"/>
        <v>0</v>
      </c>
      <c r="AA126" s="100">
        <f t="shared" si="699"/>
        <v>0</v>
      </c>
      <c r="AB126" s="100">
        <f t="shared" si="699"/>
        <v>0</v>
      </c>
      <c r="AC126" s="100">
        <f t="shared" si="699"/>
        <v>0</v>
      </c>
      <c r="AD126" s="100">
        <f t="shared" si="699"/>
        <v>0</v>
      </c>
      <c r="AE126" s="100">
        <f t="shared" si="699"/>
        <v>0</v>
      </c>
      <c r="AF126" s="100">
        <f t="shared" si="699"/>
        <v>0</v>
      </c>
      <c r="AG126" s="200">
        <f t="shared" si="699"/>
        <v>0</v>
      </c>
      <c r="AH126" s="165">
        <v>0</v>
      </c>
      <c r="AI126" s="100">
        <v>0</v>
      </c>
      <c r="AJ126" s="100">
        <v>0</v>
      </c>
      <c r="AK126" s="100">
        <v>0</v>
      </c>
      <c r="AL126" s="100">
        <v>0</v>
      </c>
      <c r="AM126" s="100">
        <v>0</v>
      </c>
      <c r="AN126" s="100">
        <v>0</v>
      </c>
      <c r="AO126" s="100">
        <v>0</v>
      </c>
      <c r="AP126" s="100">
        <v>0</v>
      </c>
      <c r="AQ126" s="100">
        <v>0</v>
      </c>
      <c r="AR126" s="100">
        <v>0</v>
      </c>
      <c r="AS126" s="200">
        <v>0</v>
      </c>
      <c r="AT126" s="165">
        <f t="shared" si="714"/>
        <v>0</v>
      </c>
      <c r="AU126" s="100">
        <f t="shared" si="700"/>
        <v>0</v>
      </c>
      <c r="AV126" s="100">
        <f t="shared" si="700"/>
        <v>0</v>
      </c>
      <c r="AW126" s="100">
        <f t="shared" si="700"/>
        <v>0</v>
      </c>
      <c r="AX126" s="100">
        <f t="shared" si="700"/>
        <v>0</v>
      </c>
      <c r="AY126" s="100">
        <f t="shared" si="700"/>
        <v>0</v>
      </c>
      <c r="AZ126" s="100">
        <f t="shared" si="700"/>
        <v>0</v>
      </c>
      <c r="BA126" s="100">
        <f t="shared" si="700"/>
        <v>0</v>
      </c>
      <c r="BB126" s="100">
        <f t="shared" si="700"/>
        <v>0</v>
      </c>
      <c r="BC126" s="100">
        <f t="shared" si="700"/>
        <v>0</v>
      </c>
      <c r="BD126" s="100">
        <f t="shared" si="700"/>
        <v>0</v>
      </c>
      <c r="BE126" s="200">
        <f t="shared" si="700"/>
        <v>0</v>
      </c>
      <c r="BF126" s="165">
        <v>0</v>
      </c>
      <c r="BG126" s="100">
        <v>0</v>
      </c>
      <c r="BH126" s="100">
        <v>0</v>
      </c>
      <c r="BI126" s="100">
        <v>0</v>
      </c>
      <c r="BJ126" s="100">
        <v>0</v>
      </c>
      <c r="BK126" s="100">
        <v>0</v>
      </c>
      <c r="BL126" s="100">
        <v>0</v>
      </c>
      <c r="BM126" s="100">
        <v>0</v>
      </c>
      <c r="BN126" s="100">
        <v>0</v>
      </c>
      <c r="BO126" s="100">
        <v>0</v>
      </c>
      <c r="BP126" s="100">
        <v>0</v>
      </c>
      <c r="BQ126" s="200">
        <v>0</v>
      </c>
      <c r="BR126" s="165">
        <f t="shared" si="701"/>
        <v>0</v>
      </c>
      <c r="BS126" s="100">
        <f t="shared" si="702"/>
        <v>0</v>
      </c>
      <c r="BT126" s="100">
        <f t="shared" si="703"/>
        <v>0</v>
      </c>
      <c r="BU126" s="100">
        <f t="shared" si="704"/>
        <v>0</v>
      </c>
      <c r="BV126" s="100">
        <f t="shared" si="705"/>
        <v>0</v>
      </c>
      <c r="BW126" s="100">
        <f t="shared" si="706"/>
        <v>0</v>
      </c>
      <c r="BX126" s="100">
        <f t="shared" si="707"/>
        <v>0</v>
      </c>
      <c r="BY126" s="100">
        <f t="shared" si="708"/>
        <v>0</v>
      </c>
      <c r="BZ126" s="100">
        <f t="shared" si="709"/>
        <v>0</v>
      </c>
      <c r="CA126" s="100">
        <f t="shared" si="710"/>
        <v>0</v>
      </c>
      <c r="CB126" s="100">
        <f t="shared" si="711"/>
        <v>0</v>
      </c>
      <c r="CC126" s="200">
        <f t="shared" si="712"/>
        <v>0</v>
      </c>
      <c r="CD126" s="165">
        <v>0</v>
      </c>
      <c r="CE126" s="100">
        <v>0</v>
      </c>
      <c r="CF126" s="100">
        <v>0</v>
      </c>
      <c r="CG126" s="100">
        <v>0</v>
      </c>
      <c r="CH126" s="100">
        <v>0</v>
      </c>
      <c r="CI126" s="100">
        <v>0</v>
      </c>
      <c r="CJ126" s="100">
        <v>0</v>
      </c>
      <c r="CK126" s="100">
        <v>0</v>
      </c>
      <c r="CL126" s="100">
        <v>0</v>
      </c>
      <c r="CM126" s="100">
        <v>0</v>
      </c>
      <c r="CN126" s="100">
        <v>0</v>
      </c>
      <c r="CO126" s="200">
        <v>0</v>
      </c>
      <c r="CP126" s="165"/>
      <c r="CQ126" s="100"/>
      <c r="CR126" s="100"/>
      <c r="CS126" s="100"/>
      <c r="CT126" s="100"/>
      <c r="CU126" s="100"/>
      <c r="CV126" s="100"/>
      <c r="CW126" s="100"/>
      <c r="CX126" s="100"/>
      <c r="CY126" s="100"/>
      <c r="CZ126" s="100"/>
      <c r="DA126" s="200"/>
      <c r="DB126" s="165">
        <v>0</v>
      </c>
      <c r="DC126" s="100">
        <v>0</v>
      </c>
      <c r="DD126" s="100">
        <v>0</v>
      </c>
      <c r="DE126" s="100">
        <v>0</v>
      </c>
      <c r="DF126" s="100">
        <v>0</v>
      </c>
      <c r="DG126" s="100">
        <v>0</v>
      </c>
      <c r="DH126" s="100">
        <v>0</v>
      </c>
      <c r="DI126" s="100">
        <v>0</v>
      </c>
      <c r="DJ126" s="100">
        <v>0</v>
      </c>
      <c r="DK126" s="100">
        <v>0</v>
      </c>
      <c r="DL126" s="100">
        <v>0</v>
      </c>
      <c r="DM126" s="200"/>
      <c r="DN126" s="165">
        <f t="shared" si="715"/>
        <v>0</v>
      </c>
      <c r="DO126" s="100">
        <f t="shared" si="713"/>
        <v>0</v>
      </c>
      <c r="DP126" s="100">
        <f t="shared" si="713"/>
        <v>0</v>
      </c>
      <c r="DQ126" s="100">
        <f t="shared" si="713"/>
        <v>0</v>
      </c>
      <c r="DR126" s="100">
        <f t="shared" si="713"/>
        <v>0</v>
      </c>
      <c r="DS126" s="100">
        <f t="shared" si="713"/>
        <v>0</v>
      </c>
      <c r="DT126" s="100">
        <f t="shared" si="713"/>
        <v>0</v>
      </c>
      <c r="DU126" s="100">
        <f t="shared" si="713"/>
        <v>0</v>
      </c>
      <c r="DV126" s="100">
        <f t="shared" si="713"/>
        <v>0</v>
      </c>
      <c r="DW126" s="100">
        <f t="shared" si="713"/>
        <v>0</v>
      </c>
      <c r="DX126" s="100">
        <f t="shared" si="713"/>
        <v>0</v>
      </c>
      <c r="DY126" s="200">
        <f t="shared" si="713"/>
        <v>0</v>
      </c>
    </row>
    <row r="127" spans="1:129" x14ac:dyDescent="0.25">
      <c r="A127" s="181" t="s">
        <v>39</v>
      </c>
      <c r="B127" s="165">
        <f>SUM(B122:B126)</f>
        <v>0</v>
      </c>
      <c r="C127" s="100">
        <f t="shared" ref="C127:K127" si="716">SUM(C122:C126)</f>
        <v>0</v>
      </c>
      <c r="D127" s="100">
        <f t="shared" si="716"/>
        <v>0</v>
      </c>
      <c r="E127" s="100">
        <f t="shared" si="716"/>
        <v>0</v>
      </c>
      <c r="F127" s="100">
        <f t="shared" si="716"/>
        <v>0</v>
      </c>
      <c r="G127" s="100">
        <f t="shared" si="716"/>
        <v>0</v>
      </c>
      <c r="H127" s="100">
        <f t="shared" si="716"/>
        <v>0</v>
      </c>
      <c r="I127" s="100">
        <f t="shared" si="716"/>
        <v>0</v>
      </c>
      <c r="J127" s="100">
        <f t="shared" si="716"/>
        <v>0</v>
      </c>
      <c r="K127" s="100">
        <f t="shared" si="716"/>
        <v>0</v>
      </c>
      <c r="L127" s="165">
        <f>SUM(L122:L126)</f>
        <v>0</v>
      </c>
      <c r="M127" s="100">
        <f t="shared" ref="M127:W127" si="717">SUM(M122:M126)</f>
        <v>0</v>
      </c>
      <c r="N127" s="100">
        <f t="shared" si="717"/>
        <v>0</v>
      </c>
      <c r="O127" s="100">
        <f t="shared" si="717"/>
        <v>0</v>
      </c>
      <c r="P127" s="100">
        <f t="shared" si="717"/>
        <v>0</v>
      </c>
      <c r="Q127" s="100">
        <f t="shared" si="717"/>
        <v>0</v>
      </c>
      <c r="R127" s="100">
        <f t="shared" si="717"/>
        <v>0</v>
      </c>
      <c r="S127" s="100">
        <f t="shared" si="717"/>
        <v>0</v>
      </c>
      <c r="T127" s="100">
        <f t="shared" si="717"/>
        <v>0</v>
      </c>
      <c r="U127" s="100">
        <f t="shared" si="717"/>
        <v>0</v>
      </c>
      <c r="V127" s="100">
        <f t="shared" si="717"/>
        <v>0</v>
      </c>
      <c r="W127" s="100">
        <f t="shared" si="717"/>
        <v>0</v>
      </c>
      <c r="X127" s="165">
        <f t="shared" ref="X127" si="718">SUM(X122:X126)</f>
        <v>0</v>
      </c>
      <c r="Y127" s="100">
        <f t="shared" ref="Y127" si="719">SUM(Y122:Y126)</f>
        <v>0</v>
      </c>
      <c r="Z127" s="100">
        <f t="shared" ref="Z127" si="720">SUM(Z122:Z126)</f>
        <v>0</v>
      </c>
      <c r="AA127" s="100">
        <f t="shared" ref="AA127" si="721">SUM(AA122:AA126)</f>
        <v>0</v>
      </c>
      <c r="AB127" s="100">
        <f t="shared" ref="AB127" si="722">SUM(AB122:AB126)</f>
        <v>0</v>
      </c>
      <c r="AC127" s="100">
        <f t="shared" ref="AC127" si="723">SUM(AC122:AC126)</f>
        <v>0</v>
      </c>
      <c r="AD127" s="100">
        <f t="shared" ref="AD127" si="724">SUM(AD122:AD126)</f>
        <v>0</v>
      </c>
      <c r="AE127" s="100">
        <f t="shared" ref="AE127" si="725">SUM(AE122:AE126)</f>
        <v>0</v>
      </c>
      <c r="AF127" s="100">
        <f t="shared" ref="AF127" si="726">SUM(AF122:AF126)</f>
        <v>0</v>
      </c>
      <c r="AG127" s="200">
        <f t="shared" ref="AG127" si="727">SUM(AG122:AG126)</f>
        <v>0</v>
      </c>
      <c r="AH127" s="165">
        <f>SUM(AH122:AH126)</f>
        <v>0</v>
      </c>
      <c r="AI127" s="100">
        <f t="shared" ref="AI127:AS127" si="728">SUM(AI122:AI126)</f>
        <v>0</v>
      </c>
      <c r="AJ127" s="100">
        <f t="shared" si="728"/>
        <v>0</v>
      </c>
      <c r="AK127" s="100">
        <f t="shared" si="728"/>
        <v>0</v>
      </c>
      <c r="AL127" s="100">
        <f t="shared" si="728"/>
        <v>0</v>
      </c>
      <c r="AM127" s="100">
        <f t="shared" si="728"/>
        <v>0</v>
      </c>
      <c r="AN127" s="100">
        <f t="shared" si="728"/>
        <v>0</v>
      </c>
      <c r="AO127" s="100">
        <f t="shared" si="728"/>
        <v>0</v>
      </c>
      <c r="AP127" s="100">
        <f t="shared" si="728"/>
        <v>0</v>
      </c>
      <c r="AQ127" s="100">
        <f t="shared" si="728"/>
        <v>0</v>
      </c>
      <c r="AR127" s="100">
        <f t="shared" si="728"/>
        <v>0</v>
      </c>
      <c r="AS127" s="200">
        <f t="shared" si="728"/>
        <v>0</v>
      </c>
      <c r="AT127" s="165">
        <f>SUM(AT122:AT126)</f>
        <v>0</v>
      </c>
      <c r="AU127" s="100">
        <f t="shared" ref="AU127:BE127" si="729">SUM(AU122:AU126)</f>
        <v>0</v>
      </c>
      <c r="AV127" s="100">
        <f t="shared" si="729"/>
        <v>0</v>
      </c>
      <c r="AW127" s="100">
        <f t="shared" si="729"/>
        <v>0</v>
      </c>
      <c r="AX127" s="100">
        <f t="shared" si="729"/>
        <v>0</v>
      </c>
      <c r="AY127" s="100">
        <f t="shared" si="729"/>
        <v>0</v>
      </c>
      <c r="AZ127" s="100">
        <f t="shared" si="729"/>
        <v>0</v>
      </c>
      <c r="BA127" s="100">
        <f t="shared" si="729"/>
        <v>0</v>
      </c>
      <c r="BB127" s="100">
        <f t="shared" si="729"/>
        <v>0</v>
      </c>
      <c r="BC127" s="100">
        <f t="shared" si="729"/>
        <v>0</v>
      </c>
      <c r="BD127" s="100">
        <f t="shared" si="729"/>
        <v>0</v>
      </c>
      <c r="BE127" s="200">
        <f t="shared" si="729"/>
        <v>0</v>
      </c>
      <c r="BF127" s="165">
        <f>SUM(BF122:BF126)</f>
        <v>0</v>
      </c>
      <c r="BG127" s="100">
        <f t="shared" ref="BG127:BQ127" si="730">SUM(BG122:BG126)</f>
        <v>0</v>
      </c>
      <c r="BH127" s="100">
        <f t="shared" si="730"/>
        <v>0</v>
      </c>
      <c r="BI127" s="100">
        <f t="shared" si="730"/>
        <v>0</v>
      </c>
      <c r="BJ127" s="100">
        <f t="shared" si="730"/>
        <v>0</v>
      </c>
      <c r="BK127" s="100">
        <f t="shared" si="730"/>
        <v>0</v>
      </c>
      <c r="BL127" s="100">
        <f t="shared" si="730"/>
        <v>0</v>
      </c>
      <c r="BM127" s="100">
        <f t="shared" si="730"/>
        <v>0</v>
      </c>
      <c r="BN127" s="100">
        <f t="shared" si="730"/>
        <v>0</v>
      </c>
      <c r="BO127" s="100">
        <f t="shared" si="730"/>
        <v>0</v>
      </c>
      <c r="BP127" s="100">
        <f t="shared" si="730"/>
        <v>0</v>
      </c>
      <c r="BQ127" s="200">
        <f t="shared" si="730"/>
        <v>0</v>
      </c>
      <c r="BR127" s="165">
        <f>SUM(BR122:BR126)</f>
        <v>0</v>
      </c>
      <c r="BS127" s="100">
        <f t="shared" ref="BS127:CC127" si="731">SUM(BS122:BS126)</f>
        <v>0</v>
      </c>
      <c r="BT127" s="100">
        <f t="shared" si="731"/>
        <v>0</v>
      </c>
      <c r="BU127" s="100">
        <f t="shared" si="731"/>
        <v>0</v>
      </c>
      <c r="BV127" s="100">
        <f t="shared" si="731"/>
        <v>0</v>
      </c>
      <c r="BW127" s="100">
        <f t="shared" si="731"/>
        <v>0</v>
      </c>
      <c r="BX127" s="100">
        <f t="shared" si="731"/>
        <v>0</v>
      </c>
      <c r="BY127" s="100">
        <f t="shared" si="731"/>
        <v>0</v>
      </c>
      <c r="BZ127" s="100">
        <f t="shared" si="731"/>
        <v>0</v>
      </c>
      <c r="CA127" s="100">
        <f t="shared" si="731"/>
        <v>0</v>
      </c>
      <c r="CB127" s="100">
        <f t="shared" si="731"/>
        <v>0</v>
      </c>
      <c r="CC127" s="200">
        <f t="shared" si="731"/>
        <v>0</v>
      </c>
      <c r="CD127" s="165">
        <f>SUM(CD122:CD126)</f>
        <v>0</v>
      </c>
      <c r="CE127" s="100">
        <f t="shared" ref="CE127:CL127" si="732">SUM(CE122:CE126)</f>
        <v>0</v>
      </c>
      <c r="CF127" s="100">
        <f t="shared" si="732"/>
        <v>0</v>
      </c>
      <c r="CG127" s="100">
        <f t="shared" si="732"/>
        <v>0</v>
      </c>
      <c r="CH127" s="100">
        <f t="shared" si="732"/>
        <v>0</v>
      </c>
      <c r="CI127" s="100">
        <f t="shared" si="732"/>
        <v>0</v>
      </c>
      <c r="CJ127" s="100">
        <f t="shared" si="732"/>
        <v>0</v>
      </c>
      <c r="CK127" s="100">
        <f t="shared" si="732"/>
        <v>0</v>
      </c>
      <c r="CL127" s="100">
        <f t="shared" si="732"/>
        <v>0</v>
      </c>
      <c r="CM127" s="100">
        <f>SUM(CM122:CM126)</f>
        <v>51</v>
      </c>
      <c r="CN127" s="100">
        <f>SUM(CN122:CN126)</f>
        <v>55</v>
      </c>
      <c r="CO127" s="200">
        <f>SUM(CO122:CO126)</f>
        <v>90</v>
      </c>
      <c r="CP127" s="165"/>
      <c r="CQ127" s="100"/>
      <c r="CR127" s="100"/>
      <c r="CS127" s="100"/>
      <c r="CT127" s="100"/>
      <c r="CU127" s="100"/>
      <c r="CV127" s="100"/>
      <c r="CW127" s="100"/>
      <c r="CX127" s="100"/>
      <c r="CY127" s="100"/>
      <c r="CZ127" s="100"/>
      <c r="DA127" s="200"/>
      <c r="DB127" s="165">
        <f t="shared" ref="DB127:DJ127" si="733">SUM(DB122:DB126)</f>
        <v>82</v>
      </c>
      <c r="DC127" s="100">
        <f t="shared" si="733"/>
        <v>95</v>
      </c>
      <c r="DD127" s="100">
        <f t="shared" si="733"/>
        <v>106</v>
      </c>
      <c r="DE127" s="100">
        <f t="shared" si="733"/>
        <v>120</v>
      </c>
      <c r="DF127" s="100">
        <f t="shared" si="733"/>
        <v>193</v>
      </c>
      <c r="DG127" s="100">
        <v>194</v>
      </c>
      <c r="DH127" s="100">
        <f t="shared" si="733"/>
        <v>200</v>
      </c>
      <c r="DI127" s="100">
        <f t="shared" si="733"/>
        <v>205</v>
      </c>
      <c r="DJ127" s="100">
        <f t="shared" si="733"/>
        <v>212</v>
      </c>
      <c r="DK127" s="100">
        <f>SUM(DK122:DK126)</f>
        <v>216</v>
      </c>
      <c r="DL127" s="100">
        <f>SUM(DL122:DL126)</f>
        <v>221</v>
      </c>
      <c r="DM127" s="200">
        <f>SUM(DM122:DM126)</f>
        <v>0</v>
      </c>
      <c r="DN127" s="165">
        <f>SUM(DN122:DN126)</f>
        <v>82</v>
      </c>
      <c r="DO127" s="100">
        <f>SUM(DO122:DO126)</f>
        <v>95</v>
      </c>
      <c r="DP127" s="100">
        <f t="shared" ref="DP127:DY127" si="734">SUM(DP122:DP126)</f>
        <v>106</v>
      </c>
      <c r="DQ127" s="100">
        <f t="shared" si="734"/>
        <v>120</v>
      </c>
      <c r="DR127" s="100">
        <f t="shared" si="734"/>
        <v>193</v>
      </c>
      <c r="DS127" s="100">
        <f t="shared" si="734"/>
        <v>194</v>
      </c>
      <c r="DT127" s="100">
        <f t="shared" si="734"/>
        <v>200</v>
      </c>
      <c r="DU127" s="100">
        <f t="shared" si="734"/>
        <v>205</v>
      </c>
      <c r="DV127" s="100">
        <f t="shared" si="734"/>
        <v>212</v>
      </c>
      <c r="DW127" s="100">
        <f t="shared" si="734"/>
        <v>165</v>
      </c>
      <c r="DX127" s="100">
        <f t="shared" si="734"/>
        <v>166</v>
      </c>
      <c r="DY127" s="200">
        <f t="shared" si="734"/>
        <v>-90</v>
      </c>
    </row>
    <row r="128" spans="1:129" x14ac:dyDescent="0.25">
      <c r="A128" s="184" t="s">
        <v>24</v>
      </c>
      <c r="B128" s="165"/>
      <c r="C128" s="100"/>
      <c r="D128" s="100"/>
      <c r="E128" s="100"/>
      <c r="F128" s="100"/>
      <c r="G128" s="100"/>
      <c r="H128" s="100"/>
      <c r="I128" s="100"/>
      <c r="J128" s="100"/>
      <c r="K128" s="100"/>
      <c r="L128" s="165"/>
      <c r="M128" s="100"/>
      <c r="N128" s="100"/>
      <c r="O128" s="100"/>
      <c r="P128" s="100"/>
      <c r="Q128" s="100"/>
      <c r="R128" s="100"/>
      <c r="S128" s="100"/>
      <c r="T128" s="100"/>
      <c r="U128" s="100"/>
      <c r="V128" s="100"/>
      <c r="W128" s="100"/>
      <c r="X128" s="165"/>
      <c r="Y128" s="100"/>
      <c r="Z128" s="100"/>
      <c r="AA128" s="100"/>
      <c r="AB128" s="100"/>
      <c r="AC128" s="100"/>
      <c r="AD128" s="100"/>
      <c r="AE128" s="100"/>
      <c r="AF128" s="100"/>
      <c r="AG128" s="200"/>
      <c r="AH128" s="165"/>
      <c r="AI128" s="100"/>
      <c r="AJ128" s="100"/>
      <c r="AK128" s="100"/>
      <c r="AL128" s="100"/>
      <c r="AM128" s="100"/>
      <c r="AN128" s="100"/>
      <c r="AO128" s="100"/>
      <c r="AP128" s="100"/>
      <c r="AQ128" s="100"/>
      <c r="AR128" s="100"/>
      <c r="AS128" s="200"/>
      <c r="AT128" s="165"/>
      <c r="AU128" s="100"/>
      <c r="AV128" s="100"/>
      <c r="AW128" s="100"/>
      <c r="AX128" s="100"/>
      <c r="AY128" s="100"/>
      <c r="AZ128" s="100"/>
      <c r="BA128" s="100"/>
      <c r="BB128" s="100"/>
      <c r="BC128" s="100"/>
      <c r="BD128" s="100"/>
      <c r="BE128" s="200"/>
      <c r="BF128" s="165"/>
      <c r="BG128" s="100"/>
      <c r="BH128" s="100"/>
      <c r="BI128" s="100"/>
      <c r="BJ128" s="100"/>
      <c r="BK128" s="100"/>
      <c r="BL128" s="100"/>
      <c r="BM128" s="100"/>
      <c r="BN128" s="100"/>
      <c r="BO128" s="100"/>
      <c r="BP128" s="100"/>
      <c r="BQ128" s="200"/>
      <c r="BR128" s="165"/>
      <c r="BS128" s="100"/>
      <c r="BT128" s="100"/>
      <c r="BU128" s="100"/>
      <c r="BV128" s="100"/>
      <c r="BW128" s="100"/>
      <c r="BX128" s="100"/>
      <c r="BY128" s="100"/>
      <c r="BZ128" s="100"/>
      <c r="CA128" s="100"/>
      <c r="CB128" s="100"/>
      <c r="CC128" s="200"/>
      <c r="CD128" s="165"/>
      <c r="CE128" s="100"/>
      <c r="CF128" s="100"/>
      <c r="CG128" s="100"/>
      <c r="CH128" s="100"/>
      <c r="CI128" s="100"/>
      <c r="CJ128" s="100"/>
      <c r="CK128" s="100"/>
      <c r="CL128" s="100"/>
      <c r="CM128" s="100"/>
      <c r="CN128" s="100"/>
      <c r="CO128" s="200"/>
      <c r="CP128" s="165"/>
      <c r="CQ128" s="100"/>
      <c r="CR128" s="100"/>
      <c r="CS128" s="100"/>
      <c r="CT128" s="100"/>
      <c r="CU128" s="100"/>
      <c r="CV128" s="100"/>
      <c r="CW128" s="100"/>
      <c r="CX128" s="100"/>
      <c r="CY128" s="100"/>
      <c r="CZ128" s="100"/>
      <c r="DA128" s="200"/>
      <c r="DB128" s="165"/>
      <c r="DC128" s="100"/>
      <c r="DD128" s="100"/>
      <c r="DE128" s="100"/>
      <c r="DF128" s="100"/>
      <c r="DG128" s="100"/>
      <c r="DH128" s="100"/>
      <c r="DI128" s="100"/>
      <c r="DJ128" s="100"/>
      <c r="DK128" s="100"/>
      <c r="DL128" s="100"/>
      <c r="DM128" s="200"/>
      <c r="DN128" s="165"/>
      <c r="DO128" s="100"/>
      <c r="DP128" s="100"/>
      <c r="DQ128" s="100"/>
      <c r="DR128" s="100"/>
      <c r="DS128" s="100"/>
      <c r="DT128" s="100"/>
      <c r="DU128" s="100"/>
      <c r="DV128" s="100"/>
      <c r="DW128" s="100"/>
      <c r="DX128" s="100"/>
      <c r="DY128" s="200"/>
    </row>
    <row r="129" spans="1:129" x14ac:dyDescent="0.25">
      <c r="A129" s="181" t="s">
        <v>34</v>
      </c>
      <c r="B129" s="165">
        <v>0</v>
      </c>
      <c r="C129" s="100">
        <v>0</v>
      </c>
      <c r="D129" s="100">
        <v>0</v>
      </c>
      <c r="E129" s="100">
        <v>0</v>
      </c>
      <c r="F129" s="100">
        <v>0</v>
      </c>
      <c r="G129" s="100">
        <v>0</v>
      </c>
      <c r="H129" s="100">
        <v>0</v>
      </c>
      <c r="I129" s="100">
        <v>0</v>
      </c>
      <c r="J129" s="100">
        <v>0</v>
      </c>
      <c r="K129" s="100">
        <v>0</v>
      </c>
      <c r="L129" s="165">
        <v>0</v>
      </c>
      <c r="M129" s="100">
        <v>0</v>
      </c>
      <c r="N129" s="100">
        <v>0</v>
      </c>
      <c r="O129" s="100">
        <v>0</v>
      </c>
      <c r="P129" s="100">
        <v>0</v>
      </c>
      <c r="Q129" s="100">
        <v>0</v>
      </c>
      <c r="R129" s="100">
        <v>0</v>
      </c>
      <c r="S129" s="100">
        <v>0</v>
      </c>
      <c r="T129" s="100">
        <v>0</v>
      </c>
      <c r="U129" s="100">
        <v>0</v>
      </c>
      <c r="V129" s="100">
        <v>0</v>
      </c>
      <c r="W129" s="100">
        <v>0</v>
      </c>
      <c r="X129" s="165">
        <f t="shared" ref="X129:AG133" si="735">B129-N129</f>
        <v>0</v>
      </c>
      <c r="Y129" s="100">
        <f t="shared" si="735"/>
        <v>0</v>
      </c>
      <c r="Z129" s="100">
        <f t="shared" si="735"/>
        <v>0</v>
      </c>
      <c r="AA129" s="100">
        <f t="shared" si="735"/>
        <v>0</v>
      </c>
      <c r="AB129" s="100">
        <f t="shared" si="735"/>
        <v>0</v>
      </c>
      <c r="AC129" s="100">
        <f t="shared" si="735"/>
        <v>0</v>
      </c>
      <c r="AD129" s="100">
        <f t="shared" si="735"/>
        <v>0</v>
      </c>
      <c r="AE129" s="100">
        <f t="shared" si="735"/>
        <v>0</v>
      </c>
      <c r="AF129" s="100">
        <f t="shared" si="735"/>
        <v>0</v>
      </c>
      <c r="AG129" s="200">
        <f t="shared" si="735"/>
        <v>0</v>
      </c>
      <c r="AH129" s="165">
        <v>0</v>
      </c>
      <c r="AI129" s="100">
        <v>0</v>
      </c>
      <c r="AJ129" s="100">
        <v>0</v>
      </c>
      <c r="AK129" s="100">
        <v>0</v>
      </c>
      <c r="AL129" s="100">
        <v>0</v>
      </c>
      <c r="AM129" s="100">
        <v>0</v>
      </c>
      <c r="AN129" s="100">
        <v>0</v>
      </c>
      <c r="AO129" s="100">
        <v>0</v>
      </c>
      <c r="AP129" s="100">
        <v>0</v>
      </c>
      <c r="AQ129" s="100">
        <v>0</v>
      </c>
      <c r="AR129" s="100">
        <v>0</v>
      </c>
      <c r="AS129" s="200">
        <v>0</v>
      </c>
      <c r="AT129" s="165">
        <f>L129-AH129</f>
        <v>0</v>
      </c>
      <c r="AU129" s="100">
        <f t="shared" ref="AU129:BE133" si="736">M129-AI129</f>
        <v>0</v>
      </c>
      <c r="AV129" s="100">
        <f t="shared" si="736"/>
        <v>0</v>
      </c>
      <c r="AW129" s="100">
        <f t="shared" si="736"/>
        <v>0</v>
      </c>
      <c r="AX129" s="100">
        <f t="shared" si="736"/>
        <v>0</v>
      </c>
      <c r="AY129" s="100">
        <f t="shared" si="736"/>
        <v>0</v>
      </c>
      <c r="AZ129" s="100">
        <f t="shared" si="736"/>
        <v>0</v>
      </c>
      <c r="BA129" s="100">
        <f t="shared" si="736"/>
        <v>0</v>
      </c>
      <c r="BB129" s="100">
        <f t="shared" si="736"/>
        <v>0</v>
      </c>
      <c r="BC129" s="100">
        <f t="shared" si="736"/>
        <v>0</v>
      </c>
      <c r="BD129" s="100">
        <f t="shared" si="736"/>
        <v>0</v>
      </c>
      <c r="BE129" s="200">
        <f t="shared" si="736"/>
        <v>0</v>
      </c>
      <c r="BF129" s="165">
        <v>0</v>
      </c>
      <c r="BG129" s="100">
        <v>0</v>
      </c>
      <c r="BH129" s="100">
        <v>0</v>
      </c>
      <c r="BI129" s="100">
        <v>0</v>
      </c>
      <c r="BJ129" s="100">
        <v>0</v>
      </c>
      <c r="BK129" s="100">
        <v>0</v>
      </c>
      <c r="BL129" s="100">
        <v>0</v>
      </c>
      <c r="BM129" s="100">
        <v>0</v>
      </c>
      <c r="BN129" s="100">
        <v>0</v>
      </c>
      <c r="BO129" s="100">
        <v>0</v>
      </c>
      <c r="BP129" s="100">
        <v>0</v>
      </c>
      <c r="BQ129" s="200">
        <v>0</v>
      </c>
      <c r="BR129" s="165">
        <f t="shared" si="701"/>
        <v>0</v>
      </c>
      <c r="BS129" s="100">
        <f t="shared" ref="BS129:BS133" si="737">AI129-BG129</f>
        <v>0</v>
      </c>
      <c r="BT129" s="100">
        <f t="shared" ref="BT129:BT133" si="738">AJ129-BH129</f>
        <v>0</v>
      </c>
      <c r="BU129" s="100">
        <f t="shared" ref="BU129:BU133" si="739">AK129-BI129</f>
        <v>0</v>
      </c>
      <c r="BV129" s="100">
        <f t="shared" ref="BV129:BV133" si="740">AL129-BJ129</f>
        <v>0</v>
      </c>
      <c r="BW129" s="100">
        <f t="shared" ref="BW129:BW133" si="741">AM129-BK129</f>
        <v>0</v>
      </c>
      <c r="BX129" s="100">
        <f t="shared" ref="BX129:BX133" si="742">AN129-BL129</f>
        <v>0</v>
      </c>
      <c r="BY129" s="100">
        <f t="shared" ref="BY129:BY133" si="743">AO129-BM129</f>
        <v>0</v>
      </c>
      <c r="BZ129" s="100">
        <f t="shared" ref="BZ129:BZ133" si="744">AP129-BN129</f>
        <v>0</v>
      </c>
      <c r="CA129" s="100">
        <f t="shared" ref="CA129:CA133" si="745">AQ129-BO129</f>
        <v>0</v>
      </c>
      <c r="CB129" s="100">
        <f t="shared" ref="CB129:CB133" si="746">AR129-BP129</f>
        <v>0</v>
      </c>
      <c r="CC129" s="200">
        <f t="shared" ref="CC129:CC133" si="747">AS129-BQ129</f>
        <v>0</v>
      </c>
      <c r="CD129" s="165">
        <v>0</v>
      </c>
      <c r="CE129" s="100">
        <v>0</v>
      </c>
      <c r="CF129" s="100">
        <v>0</v>
      </c>
      <c r="CG129" s="100">
        <v>0</v>
      </c>
      <c r="CH129" s="100">
        <v>0</v>
      </c>
      <c r="CI129" s="100">
        <v>0</v>
      </c>
      <c r="CJ129" s="100">
        <v>0</v>
      </c>
      <c r="CK129" s="100">
        <v>0</v>
      </c>
      <c r="CL129" s="100">
        <v>0</v>
      </c>
      <c r="CM129" s="100">
        <v>0</v>
      </c>
      <c r="CN129" s="100">
        <v>0</v>
      </c>
      <c r="CO129" s="200">
        <v>0</v>
      </c>
      <c r="CP129" s="165"/>
      <c r="CQ129" s="100"/>
      <c r="CR129" s="100"/>
      <c r="CS129" s="100"/>
      <c r="CT129" s="100"/>
      <c r="CU129" s="100"/>
      <c r="CV129" s="100"/>
      <c r="CW129" s="100"/>
      <c r="CX129" s="100"/>
      <c r="CY129" s="100"/>
      <c r="CZ129" s="100"/>
      <c r="DA129" s="200"/>
      <c r="DB129" s="165"/>
      <c r="DC129" s="100">
        <v>0</v>
      </c>
      <c r="DD129" s="100">
        <v>0</v>
      </c>
      <c r="DE129" s="100">
        <v>0</v>
      </c>
      <c r="DF129" s="100">
        <v>0</v>
      </c>
      <c r="DG129" s="100">
        <v>0</v>
      </c>
      <c r="DH129" s="100">
        <v>8</v>
      </c>
      <c r="DI129" s="100">
        <v>15</v>
      </c>
      <c r="DJ129" s="100">
        <v>3</v>
      </c>
      <c r="DK129" s="100">
        <v>4</v>
      </c>
      <c r="DL129" s="100">
        <v>5</v>
      </c>
      <c r="DM129" s="200"/>
      <c r="DN129" s="165">
        <f t="shared" ref="DN129:DO140" si="748">DB129-CD129</f>
        <v>0</v>
      </c>
      <c r="DO129" s="100">
        <f t="shared" si="748"/>
        <v>0</v>
      </c>
      <c r="DP129" s="100">
        <f t="shared" ref="DP129:DP133" si="749">DD129-CF129</f>
        <v>0</v>
      </c>
      <c r="DQ129" s="100">
        <f t="shared" ref="DQ129:DQ133" si="750">DE129-CG129</f>
        <v>0</v>
      </c>
      <c r="DR129" s="100">
        <f t="shared" ref="DR129:DR133" si="751">DF129-CH129</f>
        <v>0</v>
      </c>
      <c r="DS129" s="100">
        <f t="shared" ref="DS129:DS133" si="752">DG129-CI129</f>
        <v>0</v>
      </c>
      <c r="DT129" s="100">
        <f t="shared" ref="DT129:DT133" si="753">DH129-CJ129</f>
        <v>8</v>
      </c>
      <c r="DU129" s="100">
        <f t="shared" ref="DU129:DU133" si="754">DI129-CK129</f>
        <v>15</v>
      </c>
      <c r="DV129" s="100">
        <f t="shared" ref="DV129:DV133" si="755">DJ129-CL129</f>
        <v>3</v>
      </c>
      <c r="DW129" s="100">
        <f t="shared" ref="DW129:DW133" si="756">DK129-CM129</f>
        <v>4</v>
      </c>
      <c r="DX129" s="100">
        <f t="shared" ref="DX129:DX133" si="757">DL129-CN129</f>
        <v>5</v>
      </c>
      <c r="DY129" s="200">
        <f t="shared" ref="DY129:DY133" si="758">DM129-CO129</f>
        <v>0</v>
      </c>
    </row>
    <row r="130" spans="1:129" x14ac:dyDescent="0.25">
      <c r="A130" s="181" t="s">
        <v>35</v>
      </c>
      <c r="B130" s="165">
        <v>0</v>
      </c>
      <c r="C130" s="100">
        <v>0</v>
      </c>
      <c r="D130" s="100">
        <v>0</v>
      </c>
      <c r="E130" s="100">
        <v>0</v>
      </c>
      <c r="F130" s="100">
        <v>0</v>
      </c>
      <c r="G130" s="100">
        <v>0</v>
      </c>
      <c r="H130" s="100">
        <v>0</v>
      </c>
      <c r="I130" s="100">
        <v>0</v>
      </c>
      <c r="J130" s="100">
        <v>0</v>
      </c>
      <c r="K130" s="100">
        <v>0</v>
      </c>
      <c r="L130" s="165">
        <v>0</v>
      </c>
      <c r="M130" s="100">
        <v>0</v>
      </c>
      <c r="N130" s="100">
        <v>0</v>
      </c>
      <c r="O130" s="100">
        <v>0</v>
      </c>
      <c r="P130" s="100">
        <v>0</v>
      </c>
      <c r="Q130" s="100">
        <v>0</v>
      </c>
      <c r="R130" s="100">
        <v>0</v>
      </c>
      <c r="S130" s="100">
        <v>0</v>
      </c>
      <c r="T130" s="100">
        <v>0</v>
      </c>
      <c r="U130" s="100">
        <v>0</v>
      </c>
      <c r="V130" s="100">
        <v>0</v>
      </c>
      <c r="W130" s="100">
        <v>0</v>
      </c>
      <c r="X130" s="165">
        <f t="shared" si="735"/>
        <v>0</v>
      </c>
      <c r="Y130" s="100">
        <f t="shared" si="735"/>
        <v>0</v>
      </c>
      <c r="Z130" s="100">
        <f t="shared" si="735"/>
        <v>0</v>
      </c>
      <c r="AA130" s="100">
        <f t="shared" si="735"/>
        <v>0</v>
      </c>
      <c r="AB130" s="100">
        <f t="shared" si="735"/>
        <v>0</v>
      </c>
      <c r="AC130" s="100">
        <f t="shared" si="735"/>
        <v>0</v>
      </c>
      <c r="AD130" s="100">
        <f t="shared" si="735"/>
        <v>0</v>
      </c>
      <c r="AE130" s="100">
        <f t="shared" si="735"/>
        <v>0</v>
      </c>
      <c r="AF130" s="100">
        <f t="shared" si="735"/>
        <v>0</v>
      </c>
      <c r="AG130" s="200">
        <f t="shared" si="735"/>
        <v>0</v>
      </c>
      <c r="AH130" s="165">
        <v>0</v>
      </c>
      <c r="AI130" s="100">
        <v>0</v>
      </c>
      <c r="AJ130" s="100">
        <v>0</v>
      </c>
      <c r="AK130" s="100">
        <v>0</v>
      </c>
      <c r="AL130" s="100">
        <v>0</v>
      </c>
      <c r="AM130" s="100">
        <v>0</v>
      </c>
      <c r="AN130" s="100">
        <v>0</v>
      </c>
      <c r="AO130" s="100">
        <v>0</v>
      </c>
      <c r="AP130" s="100">
        <v>0</v>
      </c>
      <c r="AQ130" s="100">
        <v>0</v>
      </c>
      <c r="AR130" s="100">
        <v>0</v>
      </c>
      <c r="AS130" s="200">
        <v>0</v>
      </c>
      <c r="AT130" s="165">
        <f t="shared" ref="AT130:AT133" si="759">L130-AH130</f>
        <v>0</v>
      </c>
      <c r="AU130" s="100">
        <f t="shared" si="736"/>
        <v>0</v>
      </c>
      <c r="AV130" s="100">
        <f t="shared" si="736"/>
        <v>0</v>
      </c>
      <c r="AW130" s="100">
        <f t="shared" si="736"/>
        <v>0</v>
      </c>
      <c r="AX130" s="100">
        <f t="shared" si="736"/>
        <v>0</v>
      </c>
      <c r="AY130" s="100">
        <f t="shared" si="736"/>
        <v>0</v>
      </c>
      <c r="AZ130" s="100">
        <f t="shared" si="736"/>
        <v>0</v>
      </c>
      <c r="BA130" s="100">
        <f t="shared" si="736"/>
        <v>0</v>
      </c>
      <c r="BB130" s="100">
        <f t="shared" si="736"/>
        <v>0</v>
      </c>
      <c r="BC130" s="100">
        <f t="shared" si="736"/>
        <v>0</v>
      </c>
      <c r="BD130" s="100">
        <f t="shared" si="736"/>
        <v>0</v>
      </c>
      <c r="BE130" s="200">
        <f t="shared" si="736"/>
        <v>0</v>
      </c>
      <c r="BF130" s="165">
        <v>0</v>
      </c>
      <c r="BG130" s="100">
        <v>0</v>
      </c>
      <c r="BH130" s="100">
        <v>0</v>
      </c>
      <c r="BI130" s="100">
        <v>0</v>
      </c>
      <c r="BJ130" s="100">
        <v>0</v>
      </c>
      <c r="BK130" s="100">
        <v>0</v>
      </c>
      <c r="BL130" s="100">
        <v>0</v>
      </c>
      <c r="BM130" s="100">
        <v>0</v>
      </c>
      <c r="BN130" s="100">
        <v>0</v>
      </c>
      <c r="BO130" s="100">
        <v>0</v>
      </c>
      <c r="BP130" s="100">
        <v>0</v>
      </c>
      <c r="BQ130" s="200">
        <v>0</v>
      </c>
      <c r="BR130" s="165">
        <f t="shared" si="701"/>
        <v>0</v>
      </c>
      <c r="BS130" s="100">
        <f t="shared" si="737"/>
        <v>0</v>
      </c>
      <c r="BT130" s="100">
        <f t="shared" si="738"/>
        <v>0</v>
      </c>
      <c r="BU130" s="100">
        <f t="shared" si="739"/>
        <v>0</v>
      </c>
      <c r="BV130" s="100">
        <f t="shared" si="740"/>
        <v>0</v>
      </c>
      <c r="BW130" s="100">
        <f t="shared" si="741"/>
        <v>0</v>
      </c>
      <c r="BX130" s="100">
        <f t="shared" si="742"/>
        <v>0</v>
      </c>
      <c r="BY130" s="100">
        <f t="shared" si="743"/>
        <v>0</v>
      </c>
      <c r="BZ130" s="100">
        <f t="shared" si="744"/>
        <v>0</v>
      </c>
      <c r="CA130" s="100">
        <f t="shared" si="745"/>
        <v>0</v>
      </c>
      <c r="CB130" s="100">
        <f t="shared" si="746"/>
        <v>0</v>
      </c>
      <c r="CC130" s="200">
        <f t="shared" si="747"/>
        <v>0</v>
      </c>
      <c r="CD130" s="165">
        <v>0</v>
      </c>
      <c r="CE130" s="100">
        <v>0</v>
      </c>
      <c r="CF130" s="100">
        <v>0</v>
      </c>
      <c r="CG130" s="100">
        <v>0</v>
      </c>
      <c r="CH130" s="100">
        <v>0</v>
      </c>
      <c r="CI130" s="100">
        <v>0</v>
      </c>
      <c r="CJ130" s="100">
        <v>0</v>
      </c>
      <c r="CK130" s="100">
        <v>0</v>
      </c>
      <c r="CL130" s="100">
        <v>0</v>
      </c>
      <c r="CM130" s="100">
        <v>0</v>
      </c>
      <c r="CN130" s="100">
        <v>0</v>
      </c>
      <c r="CO130" s="200">
        <v>0</v>
      </c>
      <c r="CP130" s="165"/>
      <c r="CQ130" s="100"/>
      <c r="CR130" s="100"/>
      <c r="CS130" s="100"/>
      <c r="CT130" s="100"/>
      <c r="CU130" s="100"/>
      <c r="CV130" s="100"/>
      <c r="CW130" s="100"/>
      <c r="CX130" s="100"/>
      <c r="CY130" s="100"/>
      <c r="CZ130" s="100"/>
      <c r="DA130" s="200"/>
      <c r="DB130" s="165">
        <v>0</v>
      </c>
      <c r="DC130" s="100">
        <v>0</v>
      </c>
      <c r="DD130" s="100">
        <v>0</v>
      </c>
      <c r="DE130" s="100">
        <v>0</v>
      </c>
      <c r="DF130" s="100">
        <v>0</v>
      </c>
      <c r="DG130" s="100">
        <v>0</v>
      </c>
      <c r="DH130" s="100">
        <v>1</v>
      </c>
      <c r="DI130" s="100">
        <v>2</v>
      </c>
      <c r="DJ130" s="100">
        <v>2</v>
      </c>
      <c r="DK130" s="100">
        <v>3</v>
      </c>
      <c r="DL130" s="100">
        <v>0</v>
      </c>
      <c r="DM130" s="200"/>
      <c r="DN130" s="165">
        <f t="shared" si="748"/>
        <v>0</v>
      </c>
      <c r="DO130" s="100">
        <f t="shared" si="748"/>
        <v>0</v>
      </c>
      <c r="DP130" s="100">
        <f t="shared" si="749"/>
        <v>0</v>
      </c>
      <c r="DQ130" s="100">
        <f t="shared" si="750"/>
        <v>0</v>
      </c>
      <c r="DR130" s="100">
        <f t="shared" si="751"/>
        <v>0</v>
      </c>
      <c r="DS130" s="100">
        <f t="shared" si="752"/>
        <v>0</v>
      </c>
      <c r="DT130" s="100">
        <f t="shared" si="753"/>
        <v>1</v>
      </c>
      <c r="DU130" s="100">
        <f t="shared" si="754"/>
        <v>2</v>
      </c>
      <c r="DV130" s="100">
        <f t="shared" si="755"/>
        <v>2</v>
      </c>
      <c r="DW130" s="100">
        <f t="shared" si="756"/>
        <v>3</v>
      </c>
      <c r="DX130" s="100">
        <f t="shared" si="757"/>
        <v>0</v>
      </c>
      <c r="DY130" s="200">
        <f t="shared" si="758"/>
        <v>0</v>
      </c>
    </row>
    <row r="131" spans="1:129" x14ac:dyDescent="0.25">
      <c r="A131" s="181" t="s">
        <v>36</v>
      </c>
      <c r="B131" s="165">
        <v>0</v>
      </c>
      <c r="C131" s="100">
        <v>0</v>
      </c>
      <c r="D131" s="100">
        <v>0</v>
      </c>
      <c r="E131" s="100">
        <v>0</v>
      </c>
      <c r="F131" s="100">
        <v>0</v>
      </c>
      <c r="G131" s="100">
        <v>0</v>
      </c>
      <c r="H131" s="100">
        <v>0</v>
      </c>
      <c r="I131" s="100">
        <v>0</v>
      </c>
      <c r="J131" s="100">
        <v>0</v>
      </c>
      <c r="K131" s="100">
        <v>0</v>
      </c>
      <c r="L131" s="165">
        <v>0</v>
      </c>
      <c r="M131" s="100">
        <v>0</v>
      </c>
      <c r="N131" s="100">
        <v>0</v>
      </c>
      <c r="O131" s="100">
        <v>0</v>
      </c>
      <c r="P131" s="100">
        <v>0</v>
      </c>
      <c r="Q131" s="100">
        <v>0</v>
      </c>
      <c r="R131" s="100">
        <v>0</v>
      </c>
      <c r="S131" s="100">
        <v>0</v>
      </c>
      <c r="T131" s="100">
        <v>0</v>
      </c>
      <c r="U131" s="100">
        <v>0</v>
      </c>
      <c r="V131" s="100">
        <v>0</v>
      </c>
      <c r="W131" s="100">
        <v>0</v>
      </c>
      <c r="X131" s="165">
        <f t="shared" si="735"/>
        <v>0</v>
      </c>
      <c r="Y131" s="100">
        <f t="shared" si="735"/>
        <v>0</v>
      </c>
      <c r="Z131" s="100">
        <f t="shared" si="735"/>
        <v>0</v>
      </c>
      <c r="AA131" s="100">
        <f t="shared" si="735"/>
        <v>0</v>
      </c>
      <c r="AB131" s="100">
        <f t="shared" si="735"/>
        <v>0</v>
      </c>
      <c r="AC131" s="100">
        <f t="shared" si="735"/>
        <v>0</v>
      </c>
      <c r="AD131" s="100">
        <f t="shared" si="735"/>
        <v>0</v>
      </c>
      <c r="AE131" s="100">
        <f t="shared" si="735"/>
        <v>0</v>
      </c>
      <c r="AF131" s="100">
        <f t="shared" si="735"/>
        <v>0</v>
      </c>
      <c r="AG131" s="200">
        <f t="shared" si="735"/>
        <v>0</v>
      </c>
      <c r="AH131" s="165">
        <v>0</v>
      </c>
      <c r="AI131" s="100">
        <v>0</v>
      </c>
      <c r="AJ131" s="100">
        <v>0</v>
      </c>
      <c r="AK131" s="100">
        <v>0</v>
      </c>
      <c r="AL131" s="100">
        <v>0</v>
      </c>
      <c r="AM131" s="100">
        <v>0</v>
      </c>
      <c r="AN131" s="100">
        <v>0</v>
      </c>
      <c r="AO131" s="100">
        <v>0</v>
      </c>
      <c r="AP131" s="100">
        <v>0</v>
      </c>
      <c r="AQ131" s="100">
        <v>0</v>
      </c>
      <c r="AR131" s="100">
        <v>0</v>
      </c>
      <c r="AS131" s="200">
        <v>0</v>
      </c>
      <c r="AT131" s="165">
        <f t="shared" si="759"/>
        <v>0</v>
      </c>
      <c r="AU131" s="100">
        <f t="shared" si="736"/>
        <v>0</v>
      </c>
      <c r="AV131" s="100">
        <f t="shared" si="736"/>
        <v>0</v>
      </c>
      <c r="AW131" s="100">
        <f t="shared" si="736"/>
        <v>0</v>
      </c>
      <c r="AX131" s="100">
        <f t="shared" si="736"/>
        <v>0</v>
      </c>
      <c r="AY131" s="100">
        <f t="shared" si="736"/>
        <v>0</v>
      </c>
      <c r="AZ131" s="100">
        <f t="shared" si="736"/>
        <v>0</v>
      </c>
      <c r="BA131" s="100">
        <f t="shared" si="736"/>
        <v>0</v>
      </c>
      <c r="BB131" s="100">
        <f t="shared" si="736"/>
        <v>0</v>
      </c>
      <c r="BC131" s="100">
        <f t="shared" si="736"/>
        <v>0</v>
      </c>
      <c r="BD131" s="100">
        <f t="shared" si="736"/>
        <v>0</v>
      </c>
      <c r="BE131" s="200">
        <f t="shared" si="736"/>
        <v>0</v>
      </c>
      <c r="BF131" s="165">
        <v>0</v>
      </c>
      <c r="BG131" s="100">
        <v>0</v>
      </c>
      <c r="BH131" s="100">
        <v>0</v>
      </c>
      <c r="BI131" s="100">
        <v>0</v>
      </c>
      <c r="BJ131" s="100">
        <v>0</v>
      </c>
      <c r="BK131" s="100">
        <v>0</v>
      </c>
      <c r="BL131" s="100">
        <v>0</v>
      </c>
      <c r="BM131" s="100">
        <v>0</v>
      </c>
      <c r="BN131" s="100">
        <v>0</v>
      </c>
      <c r="BO131" s="100">
        <v>0</v>
      </c>
      <c r="BP131" s="100">
        <v>0</v>
      </c>
      <c r="BQ131" s="200">
        <v>0</v>
      </c>
      <c r="BR131" s="165">
        <f t="shared" si="701"/>
        <v>0</v>
      </c>
      <c r="BS131" s="100">
        <f t="shared" si="737"/>
        <v>0</v>
      </c>
      <c r="BT131" s="100">
        <f t="shared" si="738"/>
        <v>0</v>
      </c>
      <c r="BU131" s="100">
        <f t="shared" si="739"/>
        <v>0</v>
      </c>
      <c r="BV131" s="100">
        <f t="shared" si="740"/>
        <v>0</v>
      </c>
      <c r="BW131" s="100">
        <f t="shared" si="741"/>
        <v>0</v>
      </c>
      <c r="BX131" s="100">
        <f t="shared" si="742"/>
        <v>0</v>
      </c>
      <c r="BY131" s="100">
        <f t="shared" si="743"/>
        <v>0</v>
      </c>
      <c r="BZ131" s="100">
        <f t="shared" si="744"/>
        <v>0</v>
      </c>
      <c r="CA131" s="100">
        <f t="shared" si="745"/>
        <v>0</v>
      </c>
      <c r="CB131" s="100">
        <f t="shared" si="746"/>
        <v>0</v>
      </c>
      <c r="CC131" s="200">
        <f t="shared" si="747"/>
        <v>0</v>
      </c>
      <c r="CD131" s="165">
        <v>0</v>
      </c>
      <c r="CE131" s="100">
        <v>0</v>
      </c>
      <c r="CF131" s="100">
        <v>0</v>
      </c>
      <c r="CG131" s="100">
        <v>0</v>
      </c>
      <c r="CH131" s="100">
        <v>0</v>
      </c>
      <c r="CI131" s="100">
        <v>0</v>
      </c>
      <c r="CJ131" s="100">
        <v>0</v>
      </c>
      <c r="CK131" s="100">
        <v>0</v>
      </c>
      <c r="CL131" s="100">
        <v>0</v>
      </c>
      <c r="CM131" s="100">
        <v>0</v>
      </c>
      <c r="CN131" s="100">
        <v>0</v>
      </c>
      <c r="CO131" s="200">
        <v>0</v>
      </c>
      <c r="CP131" s="165"/>
      <c r="CQ131" s="100"/>
      <c r="CR131" s="100"/>
      <c r="CS131" s="100"/>
      <c r="CT131" s="100"/>
      <c r="CU131" s="100"/>
      <c r="CV131" s="100"/>
      <c r="CW131" s="100"/>
      <c r="CX131" s="100"/>
      <c r="CY131" s="100"/>
      <c r="CZ131" s="100"/>
      <c r="DA131" s="200"/>
      <c r="DB131" s="165">
        <v>0</v>
      </c>
      <c r="DC131" s="100">
        <v>0</v>
      </c>
      <c r="DD131" s="100">
        <v>0</v>
      </c>
      <c r="DE131" s="100">
        <v>0</v>
      </c>
      <c r="DF131" s="100">
        <v>0</v>
      </c>
      <c r="DG131" s="100">
        <v>0</v>
      </c>
      <c r="DH131" s="100">
        <v>0</v>
      </c>
      <c r="DI131" s="100">
        <v>5</v>
      </c>
      <c r="DJ131" s="100">
        <v>0</v>
      </c>
      <c r="DK131" s="100">
        <v>0</v>
      </c>
      <c r="DL131" s="100">
        <v>9</v>
      </c>
      <c r="DM131" s="200"/>
      <c r="DN131" s="165">
        <f t="shared" si="748"/>
        <v>0</v>
      </c>
      <c r="DO131" s="100">
        <f t="shared" si="748"/>
        <v>0</v>
      </c>
      <c r="DP131" s="100">
        <f t="shared" si="749"/>
        <v>0</v>
      </c>
      <c r="DQ131" s="100">
        <f t="shared" si="750"/>
        <v>0</v>
      </c>
      <c r="DR131" s="100">
        <f t="shared" si="751"/>
        <v>0</v>
      </c>
      <c r="DS131" s="100">
        <f t="shared" si="752"/>
        <v>0</v>
      </c>
      <c r="DT131" s="100">
        <f t="shared" si="753"/>
        <v>0</v>
      </c>
      <c r="DU131" s="100">
        <f t="shared" si="754"/>
        <v>5</v>
      </c>
      <c r="DV131" s="100">
        <f t="shared" si="755"/>
        <v>0</v>
      </c>
      <c r="DW131" s="100">
        <f t="shared" si="756"/>
        <v>0</v>
      </c>
      <c r="DX131" s="100">
        <f t="shared" si="757"/>
        <v>9</v>
      </c>
      <c r="DY131" s="200">
        <f t="shared" si="758"/>
        <v>0</v>
      </c>
    </row>
    <row r="132" spans="1:129" x14ac:dyDescent="0.25">
      <c r="A132" s="181" t="s">
        <v>37</v>
      </c>
      <c r="B132" s="165">
        <v>0</v>
      </c>
      <c r="C132" s="100">
        <v>0</v>
      </c>
      <c r="D132" s="100">
        <v>0</v>
      </c>
      <c r="E132" s="100">
        <v>0</v>
      </c>
      <c r="F132" s="100">
        <v>0</v>
      </c>
      <c r="G132" s="100">
        <v>0</v>
      </c>
      <c r="H132" s="100">
        <v>0</v>
      </c>
      <c r="I132" s="100">
        <v>0</v>
      </c>
      <c r="J132" s="100">
        <v>0</v>
      </c>
      <c r="K132" s="100">
        <v>0</v>
      </c>
      <c r="L132" s="165">
        <v>0</v>
      </c>
      <c r="M132" s="100">
        <v>0</v>
      </c>
      <c r="N132" s="100">
        <v>0</v>
      </c>
      <c r="O132" s="100">
        <v>0</v>
      </c>
      <c r="P132" s="100">
        <v>0</v>
      </c>
      <c r="Q132" s="100">
        <v>0</v>
      </c>
      <c r="R132" s="100">
        <v>0</v>
      </c>
      <c r="S132" s="100">
        <v>0</v>
      </c>
      <c r="T132" s="100">
        <v>0</v>
      </c>
      <c r="U132" s="100">
        <v>0</v>
      </c>
      <c r="V132" s="100">
        <v>0</v>
      </c>
      <c r="W132" s="100">
        <v>0</v>
      </c>
      <c r="X132" s="165">
        <f t="shared" si="735"/>
        <v>0</v>
      </c>
      <c r="Y132" s="100">
        <f t="shared" si="735"/>
        <v>0</v>
      </c>
      <c r="Z132" s="100">
        <f t="shared" si="735"/>
        <v>0</v>
      </c>
      <c r="AA132" s="100">
        <f t="shared" si="735"/>
        <v>0</v>
      </c>
      <c r="AB132" s="100">
        <f t="shared" si="735"/>
        <v>0</v>
      </c>
      <c r="AC132" s="100">
        <f t="shared" si="735"/>
        <v>0</v>
      </c>
      <c r="AD132" s="100">
        <f t="shared" si="735"/>
        <v>0</v>
      </c>
      <c r="AE132" s="100">
        <f t="shared" si="735"/>
        <v>0</v>
      </c>
      <c r="AF132" s="100">
        <f t="shared" si="735"/>
        <v>0</v>
      </c>
      <c r="AG132" s="200">
        <f t="shared" si="735"/>
        <v>0</v>
      </c>
      <c r="AH132" s="165">
        <v>0</v>
      </c>
      <c r="AI132" s="100">
        <v>0</v>
      </c>
      <c r="AJ132" s="100">
        <v>0</v>
      </c>
      <c r="AK132" s="100">
        <v>0</v>
      </c>
      <c r="AL132" s="100">
        <v>0</v>
      </c>
      <c r="AM132" s="100">
        <v>0</v>
      </c>
      <c r="AN132" s="100">
        <v>0</v>
      </c>
      <c r="AO132" s="100">
        <v>0</v>
      </c>
      <c r="AP132" s="100">
        <v>0</v>
      </c>
      <c r="AQ132" s="100">
        <v>0</v>
      </c>
      <c r="AR132" s="100">
        <v>0</v>
      </c>
      <c r="AS132" s="200">
        <v>0</v>
      </c>
      <c r="AT132" s="165">
        <f t="shared" si="759"/>
        <v>0</v>
      </c>
      <c r="AU132" s="100">
        <f t="shared" si="736"/>
        <v>0</v>
      </c>
      <c r="AV132" s="100">
        <f t="shared" si="736"/>
        <v>0</v>
      </c>
      <c r="AW132" s="100">
        <f t="shared" si="736"/>
        <v>0</v>
      </c>
      <c r="AX132" s="100">
        <f t="shared" si="736"/>
        <v>0</v>
      </c>
      <c r="AY132" s="100">
        <f t="shared" si="736"/>
        <v>0</v>
      </c>
      <c r="AZ132" s="100">
        <f t="shared" si="736"/>
        <v>0</v>
      </c>
      <c r="BA132" s="100">
        <f t="shared" si="736"/>
        <v>0</v>
      </c>
      <c r="BB132" s="100">
        <f t="shared" si="736"/>
        <v>0</v>
      </c>
      <c r="BC132" s="100">
        <f t="shared" si="736"/>
        <v>0</v>
      </c>
      <c r="BD132" s="100">
        <f t="shared" si="736"/>
        <v>0</v>
      </c>
      <c r="BE132" s="200">
        <f t="shared" si="736"/>
        <v>0</v>
      </c>
      <c r="BF132" s="165">
        <v>0</v>
      </c>
      <c r="BG132" s="100">
        <v>0</v>
      </c>
      <c r="BH132" s="100">
        <v>0</v>
      </c>
      <c r="BI132" s="100">
        <v>0</v>
      </c>
      <c r="BJ132" s="100">
        <v>0</v>
      </c>
      <c r="BK132" s="100">
        <v>0</v>
      </c>
      <c r="BL132" s="100">
        <v>0</v>
      </c>
      <c r="BM132" s="100">
        <v>0</v>
      </c>
      <c r="BN132" s="100">
        <v>0</v>
      </c>
      <c r="BO132" s="100">
        <v>0</v>
      </c>
      <c r="BP132" s="100">
        <v>0</v>
      </c>
      <c r="BQ132" s="200">
        <v>0</v>
      </c>
      <c r="BR132" s="165">
        <f t="shared" si="701"/>
        <v>0</v>
      </c>
      <c r="BS132" s="100">
        <f t="shared" si="737"/>
        <v>0</v>
      </c>
      <c r="BT132" s="100">
        <f t="shared" si="738"/>
        <v>0</v>
      </c>
      <c r="BU132" s="100">
        <f t="shared" si="739"/>
        <v>0</v>
      </c>
      <c r="BV132" s="100">
        <f t="shared" si="740"/>
        <v>0</v>
      </c>
      <c r="BW132" s="100">
        <f t="shared" si="741"/>
        <v>0</v>
      </c>
      <c r="BX132" s="100">
        <f t="shared" si="742"/>
        <v>0</v>
      </c>
      <c r="BY132" s="100">
        <f t="shared" si="743"/>
        <v>0</v>
      </c>
      <c r="BZ132" s="100">
        <f t="shared" si="744"/>
        <v>0</v>
      </c>
      <c r="CA132" s="100">
        <f t="shared" si="745"/>
        <v>0</v>
      </c>
      <c r="CB132" s="100">
        <f t="shared" si="746"/>
        <v>0</v>
      </c>
      <c r="CC132" s="200">
        <f t="shared" si="747"/>
        <v>0</v>
      </c>
      <c r="CD132" s="165">
        <v>0</v>
      </c>
      <c r="CE132" s="100">
        <v>0</v>
      </c>
      <c r="CF132" s="100">
        <v>0</v>
      </c>
      <c r="CG132" s="100">
        <v>0</v>
      </c>
      <c r="CH132" s="100">
        <v>0</v>
      </c>
      <c r="CI132" s="100">
        <v>0</v>
      </c>
      <c r="CJ132" s="100">
        <v>0</v>
      </c>
      <c r="CK132" s="100">
        <v>0</v>
      </c>
      <c r="CL132" s="100">
        <v>0</v>
      </c>
      <c r="CM132" s="100">
        <v>0</v>
      </c>
      <c r="CN132" s="100">
        <v>0</v>
      </c>
      <c r="CO132" s="200">
        <v>0</v>
      </c>
      <c r="CP132" s="165"/>
      <c r="CQ132" s="100"/>
      <c r="CR132" s="100"/>
      <c r="CS132" s="100"/>
      <c r="CT132" s="100"/>
      <c r="CU132" s="100"/>
      <c r="CV132" s="100"/>
      <c r="CW132" s="100"/>
      <c r="CX132" s="100"/>
      <c r="CY132" s="100"/>
      <c r="CZ132" s="100"/>
      <c r="DA132" s="200"/>
      <c r="DB132" s="165">
        <v>0</v>
      </c>
      <c r="DC132" s="100">
        <v>0</v>
      </c>
      <c r="DD132" s="100">
        <v>0</v>
      </c>
      <c r="DE132" s="100">
        <v>0</v>
      </c>
      <c r="DF132" s="100">
        <v>0</v>
      </c>
      <c r="DG132" s="100">
        <v>0</v>
      </c>
      <c r="DH132" s="100">
        <v>0</v>
      </c>
      <c r="DI132" s="100">
        <v>0</v>
      </c>
      <c r="DJ132" s="100">
        <v>0</v>
      </c>
      <c r="DK132" s="100">
        <v>0</v>
      </c>
      <c r="DL132" s="100">
        <v>0</v>
      </c>
      <c r="DM132" s="200"/>
      <c r="DN132" s="165">
        <f t="shared" si="748"/>
        <v>0</v>
      </c>
      <c r="DO132" s="100">
        <f t="shared" si="748"/>
        <v>0</v>
      </c>
      <c r="DP132" s="100">
        <f t="shared" si="749"/>
        <v>0</v>
      </c>
      <c r="DQ132" s="100">
        <f t="shared" si="750"/>
        <v>0</v>
      </c>
      <c r="DR132" s="100">
        <f t="shared" si="751"/>
        <v>0</v>
      </c>
      <c r="DS132" s="100">
        <f t="shared" si="752"/>
        <v>0</v>
      </c>
      <c r="DT132" s="100">
        <f t="shared" si="753"/>
        <v>0</v>
      </c>
      <c r="DU132" s="100">
        <f t="shared" si="754"/>
        <v>0</v>
      </c>
      <c r="DV132" s="100">
        <f t="shared" si="755"/>
        <v>0</v>
      </c>
      <c r="DW132" s="100">
        <f t="shared" si="756"/>
        <v>0</v>
      </c>
      <c r="DX132" s="100">
        <f t="shared" si="757"/>
        <v>0</v>
      </c>
      <c r="DY132" s="200">
        <f t="shared" si="758"/>
        <v>0</v>
      </c>
    </row>
    <row r="133" spans="1:129" x14ac:dyDescent="0.25">
      <c r="A133" s="181" t="s">
        <v>38</v>
      </c>
      <c r="B133" s="165">
        <v>0</v>
      </c>
      <c r="C133" s="100">
        <v>0</v>
      </c>
      <c r="D133" s="100">
        <v>0</v>
      </c>
      <c r="E133" s="100">
        <v>0</v>
      </c>
      <c r="F133" s="100">
        <v>0</v>
      </c>
      <c r="G133" s="100">
        <v>0</v>
      </c>
      <c r="H133" s="100">
        <v>0</v>
      </c>
      <c r="I133" s="100">
        <v>0</v>
      </c>
      <c r="J133" s="100">
        <v>0</v>
      </c>
      <c r="K133" s="100">
        <v>0</v>
      </c>
      <c r="L133" s="165">
        <v>0</v>
      </c>
      <c r="M133" s="100">
        <v>0</v>
      </c>
      <c r="N133" s="100">
        <v>0</v>
      </c>
      <c r="O133" s="100">
        <v>0</v>
      </c>
      <c r="P133" s="100">
        <v>0</v>
      </c>
      <c r="Q133" s="100">
        <v>0</v>
      </c>
      <c r="R133" s="100">
        <v>0</v>
      </c>
      <c r="S133" s="100">
        <v>0</v>
      </c>
      <c r="T133" s="100">
        <v>0</v>
      </c>
      <c r="U133" s="100">
        <v>0</v>
      </c>
      <c r="V133" s="100">
        <v>0</v>
      </c>
      <c r="W133" s="100">
        <v>0</v>
      </c>
      <c r="X133" s="165">
        <f t="shared" si="735"/>
        <v>0</v>
      </c>
      <c r="Y133" s="100">
        <f t="shared" si="735"/>
        <v>0</v>
      </c>
      <c r="Z133" s="100">
        <f t="shared" si="735"/>
        <v>0</v>
      </c>
      <c r="AA133" s="100">
        <f t="shared" si="735"/>
        <v>0</v>
      </c>
      <c r="AB133" s="100">
        <f t="shared" si="735"/>
        <v>0</v>
      </c>
      <c r="AC133" s="100">
        <f t="shared" si="735"/>
        <v>0</v>
      </c>
      <c r="AD133" s="100">
        <f t="shared" si="735"/>
        <v>0</v>
      </c>
      <c r="AE133" s="100">
        <f t="shared" si="735"/>
        <v>0</v>
      </c>
      <c r="AF133" s="100">
        <f t="shared" si="735"/>
        <v>0</v>
      </c>
      <c r="AG133" s="200">
        <f t="shared" si="735"/>
        <v>0</v>
      </c>
      <c r="AH133" s="165">
        <v>0</v>
      </c>
      <c r="AI133" s="100">
        <v>0</v>
      </c>
      <c r="AJ133" s="100">
        <v>0</v>
      </c>
      <c r="AK133" s="100">
        <v>0</v>
      </c>
      <c r="AL133" s="100">
        <v>0</v>
      </c>
      <c r="AM133" s="100">
        <v>0</v>
      </c>
      <c r="AN133" s="100">
        <v>0</v>
      </c>
      <c r="AO133" s="100">
        <v>0</v>
      </c>
      <c r="AP133" s="100">
        <v>0</v>
      </c>
      <c r="AQ133" s="100">
        <v>0</v>
      </c>
      <c r="AR133" s="100">
        <v>0</v>
      </c>
      <c r="AS133" s="200">
        <v>0</v>
      </c>
      <c r="AT133" s="165">
        <f t="shared" si="759"/>
        <v>0</v>
      </c>
      <c r="AU133" s="100">
        <f t="shared" si="736"/>
        <v>0</v>
      </c>
      <c r="AV133" s="100">
        <f t="shared" si="736"/>
        <v>0</v>
      </c>
      <c r="AW133" s="100">
        <f t="shared" si="736"/>
        <v>0</v>
      </c>
      <c r="AX133" s="100">
        <f t="shared" si="736"/>
        <v>0</v>
      </c>
      <c r="AY133" s="100">
        <f t="shared" si="736"/>
        <v>0</v>
      </c>
      <c r="AZ133" s="100">
        <f t="shared" si="736"/>
        <v>0</v>
      </c>
      <c r="BA133" s="100">
        <f t="shared" si="736"/>
        <v>0</v>
      </c>
      <c r="BB133" s="100">
        <f t="shared" si="736"/>
        <v>0</v>
      </c>
      <c r="BC133" s="100">
        <f t="shared" si="736"/>
        <v>0</v>
      </c>
      <c r="BD133" s="100">
        <f t="shared" si="736"/>
        <v>0</v>
      </c>
      <c r="BE133" s="200">
        <f t="shared" si="736"/>
        <v>0</v>
      </c>
      <c r="BF133" s="165">
        <v>0</v>
      </c>
      <c r="BG133" s="100">
        <v>0</v>
      </c>
      <c r="BH133" s="100">
        <v>0</v>
      </c>
      <c r="BI133" s="100">
        <v>0</v>
      </c>
      <c r="BJ133" s="100">
        <v>0</v>
      </c>
      <c r="BK133" s="100">
        <v>0</v>
      </c>
      <c r="BL133" s="100">
        <v>0</v>
      </c>
      <c r="BM133" s="100">
        <v>0</v>
      </c>
      <c r="BN133" s="100">
        <v>0</v>
      </c>
      <c r="BO133" s="100">
        <v>0</v>
      </c>
      <c r="BP133" s="100">
        <v>0</v>
      </c>
      <c r="BQ133" s="200">
        <v>0</v>
      </c>
      <c r="BR133" s="165">
        <f t="shared" si="701"/>
        <v>0</v>
      </c>
      <c r="BS133" s="100">
        <f t="shared" si="737"/>
        <v>0</v>
      </c>
      <c r="BT133" s="100">
        <f t="shared" si="738"/>
        <v>0</v>
      </c>
      <c r="BU133" s="100">
        <f t="shared" si="739"/>
        <v>0</v>
      </c>
      <c r="BV133" s="100">
        <f t="shared" si="740"/>
        <v>0</v>
      </c>
      <c r="BW133" s="100">
        <f t="shared" si="741"/>
        <v>0</v>
      </c>
      <c r="BX133" s="100">
        <f t="shared" si="742"/>
        <v>0</v>
      </c>
      <c r="BY133" s="100">
        <f t="shared" si="743"/>
        <v>0</v>
      </c>
      <c r="BZ133" s="100">
        <f t="shared" si="744"/>
        <v>0</v>
      </c>
      <c r="CA133" s="100">
        <f t="shared" si="745"/>
        <v>0</v>
      </c>
      <c r="CB133" s="100">
        <f t="shared" si="746"/>
        <v>0</v>
      </c>
      <c r="CC133" s="200">
        <f t="shared" si="747"/>
        <v>0</v>
      </c>
      <c r="CD133" s="165">
        <v>0</v>
      </c>
      <c r="CE133" s="100">
        <v>0</v>
      </c>
      <c r="CF133" s="100">
        <v>0</v>
      </c>
      <c r="CG133" s="100">
        <v>0</v>
      </c>
      <c r="CH133" s="100">
        <v>0</v>
      </c>
      <c r="CI133" s="100">
        <v>0</v>
      </c>
      <c r="CJ133" s="100">
        <v>0</v>
      </c>
      <c r="CK133" s="100">
        <v>0</v>
      </c>
      <c r="CL133" s="100">
        <v>0</v>
      </c>
      <c r="CM133" s="100">
        <v>0</v>
      </c>
      <c r="CN133" s="100">
        <v>0</v>
      </c>
      <c r="CO133" s="200">
        <v>0</v>
      </c>
      <c r="CP133" s="165"/>
      <c r="CQ133" s="100"/>
      <c r="CR133" s="100"/>
      <c r="CS133" s="100"/>
      <c r="CT133" s="100"/>
      <c r="CU133" s="100"/>
      <c r="CV133" s="100"/>
      <c r="CW133" s="100"/>
      <c r="CX133" s="100"/>
      <c r="CY133" s="100"/>
      <c r="CZ133" s="100"/>
      <c r="DA133" s="200"/>
      <c r="DB133" s="165">
        <v>0</v>
      </c>
      <c r="DC133" s="100">
        <v>0</v>
      </c>
      <c r="DD133" s="100">
        <v>0</v>
      </c>
      <c r="DE133" s="100">
        <v>0</v>
      </c>
      <c r="DF133" s="100">
        <v>0</v>
      </c>
      <c r="DG133" s="100">
        <v>0</v>
      </c>
      <c r="DH133" s="100">
        <v>0</v>
      </c>
      <c r="DI133" s="100">
        <v>0</v>
      </c>
      <c r="DJ133" s="100">
        <v>0</v>
      </c>
      <c r="DK133" s="100">
        <v>0</v>
      </c>
      <c r="DL133" s="100">
        <v>0</v>
      </c>
      <c r="DM133" s="200"/>
      <c r="DN133" s="165">
        <f t="shared" si="748"/>
        <v>0</v>
      </c>
      <c r="DO133" s="100">
        <f t="shared" si="748"/>
        <v>0</v>
      </c>
      <c r="DP133" s="100">
        <f t="shared" si="749"/>
        <v>0</v>
      </c>
      <c r="DQ133" s="100">
        <f t="shared" si="750"/>
        <v>0</v>
      </c>
      <c r="DR133" s="100">
        <f t="shared" si="751"/>
        <v>0</v>
      </c>
      <c r="DS133" s="100">
        <f t="shared" si="752"/>
        <v>0</v>
      </c>
      <c r="DT133" s="100">
        <f t="shared" si="753"/>
        <v>0</v>
      </c>
      <c r="DU133" s="100">
        <f t="shared" si="754"/>
        <v>0</v>
      </c>
      <c r="DV133" s="100">
        <f t="shared" si="755"/>
        <v>0</v>
      </c>
      <c r="DW133" s="100">
        <f t="shared" si="756"/>
        <v>0</v>
      </c>
      <c r="DX133" s="100">
        <f t="shared" si="757"/>
        <v>0</v>
      </c>
      <c r="DY133" s="200">
        <f t="shared" si="758"/>
        <v>0</v>
      </c>
    </row>
    <row r="134" spans="1:129" x14ac:dyDescent="0.25">
      <c r="A134" s="181" t="s">
        <v>39</v>
      </c>
      <c r="B134" s="165">
        <f>SUM(B129:B133)</f>
        <v>0</v>
      </c>
      <c r="C134" s="100">
        <f t="shared" ref="C134:K134" si="760">SUM(C129:C133)</f>
        <v>0</v>
      </c>
      <c r="D134" s="100">
        <f t="shared" si="760"/>
        <v>0</v>
      </c>
      <c r="E134" s="100">
        <f t="shared" si="760"/>
        <v>0</v>
      </c>
      <c r="F134" s="100">
        <f t="shared" si="760"/>
        <v>0</v>
      </c>
      <c r="G134" s="100">
        <f t="shared" si="760"/>
        <v>0</v>
      </c>
      <c r="H134" s="100">
        <f t="shared" si="760"/>
        <v>0</v>
      </c>
      <c r="I134" s="100">
        <f t="shared" si="760"/>
        <v>0</v>
      </c>
      <c r="J134" s="100">
        <f t="shared" si="760"/>
        <v>0</v>
      </c>
      <c r="K134" s="100">
        <f t="shared" si="760"/>
        <v>0</v>
      </c>
      <c r="L134" s="165">
        <f>SUM(L129:L133)</f>
        <v>0</v>
      </c>
      <c r="M134" s="100">
        <f t="shared" ref="M134:W134" si="761">SUM(M129:M133)</f>
        <v>0</v>
      </c>
      <c r="N134" s="100">
        <f t="shared" si="761"/>
        <v>0</v>
      </c>
      <c r="O134" s="100">
        <f t="shared" si="761"/>
        <v>0</v>
      </c>
      <c r="P134" s="100">
        <f t="shared" si="761"/>
        <v>0</v>
      </c>
      <c r="Q134" s="100">
        <f t="shared" si="761"/>
        <v>0</v>
      </c>
      <c r="R134" s="100">
        <f t="shared" si="761"/>
        <v>0</v>
      </c>
      <c r="S134" s="100">
        <f t="shared" si="761"/>
        <v>0</v>
      </c>
      <c r="T134" s="100">
        <f t="shared" si="761"/>
        <v>0</v>
      </c>
      <c r="U134" s="100">
        <f t="shared" si="761"/>
        <v>0</v>
      </c>
      <c r="V134" s="100">
        <f t="shared" si="761"/>
        <v>0</v>
      </c>
      <c r="W134" s="100">
        <f t="shared" si="761"/>
        <v>0</v>
      </c>
      <c r="X134" s="165">
        <f t="shared" ref="X134" si="762">SUM(X129:X133)</f>
        <v>0</v>
      </c>
      <c r="Y134" s="100">
        <f t="shared" ref="Y134" si="763">SUM(Y129:Y133)</f>
        <v>0</v>
      </c>
      <c r="Z134" s="100">
        <f t="shared" ref="Z134" si="764">SUM(Z129:Z133)</f>
        <v>0</v>
      </c>
      <c r="AA134" s="100">
        <f t="shared" ref="AA134" si="765">SUM(AA129:AA133)</f>
        <v>0</v>
      </c>
      <c r="AB134" s="100">
        <f t="shared" ref="AB134" si="766">SUM(AB129:AB133)</f>
        <v>0</v>
      </c>
      <c r="AC134" s="100">
        <f t="shared" ref="AC134" si="767">SUM(AC129:AC133)</f>
        <v>0</v>
      </c>
      <c r="AD134" s="100">
        <f t="shared" ref="AD134" si="768">SUM(AD129:AD133)</f>
        <v>0</v>
      </c>
      <c r="AE134" s="100">
        <f t="shared" ref="AE134" si="769">SUM(AE129:AE133)</f>
        <v>0</v>
      </c>
      <c r="AF134" s="100">
        <f t="shared" ref="AF134" si="770">SUM(AF129:AF133)</f>
        <v>0</v>
      </c>
      <c r="AG134" s="200">
        <f t="shared" ref="AG134" si="771">SUM(AG129:AG133)</f>
        <v>0</v>
      </c>
      <c r="AH134" s="165">
        <f>SUM(AH129:AH133)</f>
        <v>0</v>
      </c>
      <c r="AI134" s="100">
        <f t="shared" ref="AI134:AS134" si="772">SUM(AI129:AI133)</f>
        <v>0</v>
      </c>
      <c r="AJ134" s="100">
        <f t="shared" si="772"/>
        <v>0</v>
      </c>
      <c r="AK134" s="100">
        <f t="shared" si="772"/>
        <v>0</v>
      </c>
      <c r="AL134" s="100">
        <f t="shared" si="772"/>
        <v>0</v>
      </c>
      <c r="AM134" s="100">
        <f t="shared" si="772"/>
        <v>0</v>
      </c>
      <c r="AN134" s="100">
        <f t="shared" si="772"/>
        <v>0</v>
      </c>
      <c r="AO134" s="100">
        <f t="shared" si="772"/>
        <v>0</v>
      </c>
      <c r="AP134" s="100">
        <f t="shared" si="772"/>
        <v>0</v>
      </c>
      <c r="AQ134" s="100">
        <f t="shared" si="772"/>
        <v>0</v>
      </c>
      <c r="AR134" s="100">
        <f t="shared" si="772"/>
        <v>0</v>
      </c>
      <c r="AS134" s="200">
        <f t="shared" si="772"/>
        <v>0</v>
      </c>
      <c r="AT134" s="165">
        <f>SUM(AT129:AT133)</f>
        <v>0</v>
      </c>
      <c r="AU134" s="100">
        <f t="shared" ref="AU134:BE134" si="773">SUM(AU129:AU133)</f>
        <v>0</v>
      </c>
      <c r="AV134" s="100">
        <f t="shared" si="773"/>
        <v>0</v>
      </c>
      <c r="AW134" s="100">
        <f t="shared" si="773"/>
        <v>0</v>
      </c>
      <c r="AX134" s="100">
        <f t="shared" si="773"/>
        <v>0</v>
      </c>
      <c r="AY134" s="100">
        <f t="shared" si="773"/>
        <v>0</v>
      </c>
      <c r="AZ134" s="100">
        <f t="shared" si="773"/>
        <v>0</v>
      </c>
      <c r="BA134" s="100">
        <f t="shared" si="773"/>
        <v>0</v>
      </c>
      <c r="BB134" s="100">
        <f t="shared" si="773"/>
        <v>0</v>
      </c>
      <c r="BC134" s="100">
        <f t="shared" si="773"/>
        <v>0</v>
      </c>
      <c r="BD134" s="100">
        <f t="shared" si="773"/>
        <v>0</v>
      </c>
      <c r="BE134" s="200">
        <f t="shared" si="773"/>
        <v>0</v>
      </c>
      <c r="BF134" s="165">
        <f>SUM(BF129:BF133)</f>
        <v>0</v>
      </c>
      <c r="BG134" s="100">
        <f t="shared" ref="BG134:BQ134" si="774">SUM(BG129:BG133)</f>
        <v>0</v>
      </c>
      <c r="BH134" s="100">
        <f t="shared" si="774"/>
        <v>0</v>
      </c>
      <c r="BI134" s="100">
        <f t="shared" si="774"/>
        <v>0</v>
      </c>
      <c r="BJ134" s="100">
        <f t="shared" si="774"/>
        <v>0</v>
      </c>
      <c r="BK134" s="100">
        <f t="shared" si="774"/>
        <v>0</v>
      </c>
      <c r="BL134" s="100">
        <f t="shared" si="774"/>
        <v>0</v>
      </c>
      <c r="BM134" s="100">
        <f t="shared" si="774"/>
        <v>0</v>
      </c>
      <c r="BN134" s="100">
        <f t="shared" si="774"/>
        <v>0</v>
      </c>
      <c r="BO134" s="100">
        <f t="shared" si="774"/>
        <v>0</v>
      </c>
      <c r="BP134" s="100">
        <f t="shared" si="774"/>
        <v>0</v>
      </c>
      <c r="BQ134" s="200">
        <f t="shared" si="774"/>
        <v>0</v>
      </c>
      <c r="BR134" s="165">
        <f>SUM(BR129:BR133)</f>
        <v>0</v>
      </c>
      <c r="BS134" s="100">
        <f t="shared" ref="BS134:CC134" si="775">SUM(BS129:BS133)</f>
        <v>0</v>
      </c>
      <c r="BT134" s="100">
        <f t="shared" si="775"/>
        <v>0</v>
      </c>
      <c r="BU134" s="100">
        <f t="shared" si="775"/>
        <v>0</v>
      </c>
      <c r="BV134" s="100">
        <f t="shared" si="775"/>
        <v>0</v>
      </c>
      <c r="BW134" s="100">
        <f t="shared" si="775"/>
        <v>0</v>
      </c>
      <c r="BX134" s="100">
        <f t="shared" si="775"/>
        <v>0</v>
      </c>
      <c r="BY134" s="100">
        <f t="shared" si="775"/>
        <v>0</v>
      </c>
      <c r="BZ134" s="100">
        <f t="shared" si="775"/>
        <v>0</v>
      </c>
      <c r="CA134" s="100">
        <f t="shared" si="775"/>
        <v>0</v>
      </c>
      <c r="CB134" s="100">
        <f t="shared" si="775"/>
        <v>0</v>
      </c>
      <c r="CC134" s="200">
        <f t="shared" si="775"/>
        <v>0</v>
      </c>
      <c r="CD134" s="165">
        <f>SUM(CD129:CD133)</f>
        <v>0</v>
      </c>
      <c r="CE134" s="100">
        <f t="shared" ref="CE134:CL134" si="776">SUM(CE129:CE133)</f>
        <v>0</v>
      </c>
      <c r="CF134" s="100">
        <f t="shared" si="776"/>
        <v>0</v>
      </c>
      <c r="CG134" s="100">
        <f t="shared" si="776"/>
        <v>0</v>
      </c>
      <c r="CH134" s="100">
        <f t="shared" si="776"/>
        <v>0</v>
      </c>
      <c r="CI134" s="100">
        <f t="shared" si="776"/>
        <v>0</v>
      </c>
      <c r="CJ134" s="100">
        <f t="shared" si="776"/>
        <v>0</v>
      </c>
      <c r="CK134" s="100">
        <f t="shared" si="776"/>
        <v>0</v>
      </c>
      <c r="CL134" s="100">
        <f t="shared" si="776"/>
        <v>0</v>
      </c>
      <c r="CM134" s="100">
        <v>0</v>
      </c>
      <c r="CN134" s="100">
        <v>0</v>
      </c>
      <c r="CO134" s="200">
        <v>0</v>
      </c>
      <c r="CP134" s="165"/>
      <c r="CQ134" s="100"/>
      <c r="CR134" s="100"/>
      <c r="CS134" s="100"/>
      <c r="CT134" s="100"/>
      <c r="CU134" s="100"/>
      <c r="CV134" s="100"/>
      <c r="CW134" s="100"/>
      <c r="CX134" s="100"/>
      <c r="CY134" s="100"/>
      <c r="CZ134" s="100"/>
      <c r="DA134" s="200"/>
      <c r="DB134" s="165">
        <v>0</v>
      </c>
      <c r="DC134" s="100">
        <v>0</v>
      </c>
      <c r="DD134" s="100">
        <f t="shared" ref="DD134:DM134" si="777">SUM(DD129:DD133)</f>
        <v>0</v>
      </c>
      <c r="DE134" s="100">
        <f t="shared" si="777"/>
        <v>0</v>
      </c>
      <c r="DF134" s="100">
        <f t="shared" si="777"/>
        <v>0</v>
      </c>
      <c r="DG134" s="100">
        <v>0</v>
      </c>
      <c r="DH134" s="100">
        <f t="shared" si="777"/>
        <v>9</v>
      </c>
      <c r="DI134" s="100">
        <f t="shared" si="777"/>
        <v>22</v>
      </c>
      <c r="DJ134" s="100">
        <f t="shared" si="777"/>
        <v>5</v>
      </c>
      <c r="DK134" s="100">
        <f t="shared" si="777"/>
        <v>7</v>
      </c>
      <c r="DL134" s="100">
        <f t="shared" si="777"/>
        <v>14</v>
      </c>
      <c r="DM134" s="200">
        <f t="shared" si="777"/>
        <v>0</v>
      </c>
      <c r="DN134" s="165">
        <f>SUM(DN129:DN133)</f>
        <v>0</v>
      </c>
      <c r="DO134" s="100">
        <f>SUM(DO129:DO133)</f>
        <v>0</v>
      </c>
      <c r="DP134" s="100">
        <f t="shared" ref="DP134:DY134" si="778">SUM(DP129:DP133)</f>
        <v>0</v>
      </c>
      <c r="DQ134" s="100">
        <f t="shared" si="778"/>
        <v>0</v>
      </c>
      <c r="DR134" s="100">
        <f t="shared" si="778"/>
        <v>0</v>
      </c>
      <c r="DS134" s="100">
        <f t="shared" si="778"/>
        <v>0</v>
      </c>
      <c r="DT134" s="100">
        <f t="shared" si="778"/>
        <v>9</v>
      </c>
      <c r="DU134" s="100">
        <f t="shared" si="778"/>
        <v>22</v>
      </c>
      <c r="DV134" s="100">
        <f t="shared" si="778"/>
        <v>5</v>
      </c>
      <c r="DW134" s="100">
        <f t="shared" si="778"/>
        <v>7</v>
      </c>
      <c r="DX134" s="100">
        <f t="shared" si="778"/>
        <v>14</v>
      </c>
      <c r="DY134" s="200">
        <f t="shared" si="778"/>
        <v>0</v>
      </c>
    </row>
    <row r="135" spans="1:129" x14ac:dyDescent="0.25">
      <c r="A135" s="185" t="s">
        <v>23</v>
      </c>
      <c r="B135" s="165"/>
      <c r="C135" s="100"/>
      <c r="D135" s="100"/>
      <c r="E135" s="100"/>
      <c r="F135" s="100"/>
      <c r="G135" s="100"/>
      <c r="H135" s="100"/>
      <c r="I135" s="100"/>
      <c r="J135" s="100"/>
      <c r="K135" s="100"/>
      <c r="L135" s="165"/>
      <c r="M135" s="100"/>
      <c r="N135" s="100"/>
      <c r="O135" s="100"/>
      <c r="P135" s="100"/>
      <c r="Q135" s="100"/>
      <c r="R135" s="100"/>
      <c r="S135" s="100"/>
      <c r="T135" s="100"/>
      <c r="U135" s="100"/>
      <c r="V135" s="100"/>
      <c r="W135" s="100"/>
      <c r="X135" s="165"/>
      <c r="Y135" s="100"/>
      <c r="Z135" s="100"/>
      <c r="AA135" s="100"/>
      <c r="AB135" s="100"/>
      <c r="AC135" s="100"/>
      <c r="AD135" s="100"/>
      <c r="AE135" s="100"/>
      <c r="AF135" s="100"/>
      <c r="AG135" s="200"/>
      <c r="AH135" s="165"/>
      <c r="AI135" s="100"/>
      <c r="AJ135" s="100"/>
      <c r="AK135" s="100"/>
      <c r="AL135" s="100"/>
      <c r="AM135" s="100"/>
      <c r="AN135" s="100"/>
      <c r="AO135" s="100"/>
      <c r="AP135" s="100"/>
      <c r="AQ135" s="100"/>
      <c r="AR135" s="100"/>
      <c r="AS135" s="200"/>
      <c r="AT135" s="165"/>
      <c r="AU135" s="100"/>
      <c r="AV135" s="100"/>
      <c r="AW135" s="100"/>
      <c r="AX135" s="100"/>
      <c r="AY135" s="100"/>
      <c r="AZ135" s="100"/>
      <c r="BA135" s="100"/>
      <c r="BB135" s="100"/>
      <c r="BC135" s="100"/>
      <c r="BD135" s="100"/>
      <c r="BE135" s="200"/>
      <c r="BF135" s="165"/>
      <c r="BG135" s="100"/>
      <c r="BH135" s="100"/>
      <c r="BI135" s="100"/>
      <c r="BJ135" s="100"/>
      <c r="BK135" s="100"/>
      <c r="BL135" s="100"/>
      <c r="BM135" s="100"/>
      <c r="BN135" s="100"/>
      <c r="BO135" s="100"/>
      <c r="BP135" s="100"/>
      <c r="BQ135" s="200"/>
      <c r="BR135" s="165"/>
      <c r="BS135" s="100"/>
      <c r="BT135" s="100"/>
      <c r="BU135" s="100"/>
      <c r="BV135" s="100"/>
      <c r="BW135" s="100"/>
      <c r="BX135" s="100"/>
      <c r="BY135" s="100"/>
      <c r="BZ135" s="100"/>
      <c r="CA135" s="100"/>
      <c r="CB135" s="100"/>
      <c r="CC135" s="200"/>
      <c r="CD135" s="165"/>
      <c r="CE135" s="100"/>
      <c r="CF135" s="100"/>
      <c r="CG135" s="100"/>
      <c r="CH135" s="100"/>
      <c r="CI135" s="100"/>
      <c r="CJ135" s="100"/>
      <c r="CK135" s="100"/>
      <c r="CL135" s="100"/>
      <c r="CM135" s="100"/>
      <c r="CN135" s="100"/>
      <c r="CO135" s="200"/>
      <c r="CP135" s="165"/>
      <c r="CQ135" s="100"/>
      <c r="CR135" s="100"/>
      <c r="CS135" s="100"/>
      <c r="CT135" s="100"/>
      <c r="CU135" s="100"/>
      <c r="CV135" s="100"/>
      <c r="CW135" s="100"/>
      <c r="CX135" s="100"/>
      <c r="CY135" s="100"/>
      <c r="CZ135" s="100"/>
      <c r="DA135" s="200"/>
      <c r="DB135" s="165">
        <v>0</v>
      </c>
      <c r="DC135" s="100"/>
      <c r="DD135" s="100"/>
      <c r="DE135" s="100"/>
      <c r="DF135" s="100"/>
      <c r="DG135" s="100"/>
      <c r="DH135" s="100"/>
      <c r="DI135" s="100"/>
      <c r="DJ135" s="100"/>
      <c r="DK135" s="100"/>
      <c r="DL135" s="100"/>
      <c r="DM135" s="200"/>
      <c r="DN135" s="165"/>
      <c r="DO135" s="100"/>
      <c r="DP135" s="100"/>
      <c r="DQ135" s="100"/>
      <c r="DR135" s="100"/>
      <c r="DS135" s="100"/>
      <c r="DT135" s="100"/>
      <c r="DU135" s="100"/>
      <c r="DV135" s="100"/>
      <c r="DW135" s="100"/>
      <c r="DX135" s="100"/>
      <c r="DY135" s="200"/>
    </row>
    <row r="136" spans="1:129" x14ac:dyDescent="0.25">
      <c r="A136" s="181" t="s">
        <v>34</v>
      </c>
      <c r="B136" s="165">
        <v>0</v>
      </c>
      <c r="C136" s="100">
        <v>0</v>
      </c>
      <c r="D136" s="100">
        <v>0</v>
      </c>
      <c r="E136" s="100">
        <v>0</v>
      </c>
      <c r="F136" s="100">
        <v>0</v>
      </c>
      <c r="G136" s="100">
        <v>0</v>
      </c>
      <c r="H136" s="100">
        <v>0</v>
      </c>
      <c r="I136" s="100">
        <v>0</v>
      </c>
      <c r="J136" s="100">
        <v>0</v>
      </c>
      <c r="K136" s="100">
        <v>0</v>
      </c>
      <c r="L136" s="165">
        <v>0</v>
      </c>
      <c r="M136" s="100">
        <v>0</v>
      </c>
      <c r="N136" s="100">
        <v>0</v>
      </c>
      <c r="O136" s="100">
        <v>0</v>
      </c>
      <c r="P136" s="100">
        <v>0</v>
      </c>
      <c r="Q136" s="100">
        <v>0</v>
      </c>
      <c r="R136" s="100">
        <v>0</v>
      </c>
      <c r="S136" s="100">
        <v>0</v>
      </c>
      <c r="T136" s="100">
        <v>0</v>
      </c>
      <c r="U136" s="100">
        <v>0</v>
      </c>
      <c r="V136" s="100">
        <v>0</v>
      </c>
      <c r="W136" s="100">
        <v>0</v>
      </c>
      <c r="X136" s="165">
        <f t="shared" ref="X136:AG140" si="779">B136-N136</f>
        <v>0</v>
      </c>
      <c r="Y136" s="100">
        <f t="shared" si="779"/>
        <v>0</v>
      </c>
      <c r="Z136" s="100">
        <f t="shared" si="779"/>
        <v>0</v>
      </c>
      <c r="AA136" s="100">
        <f t="shared" si="779"/>
        <v>0</v>
      </c>
      <c r="AB136" s="100">
        <f t="shared" si="779"/>
        <v>0</v>
      </c>
      <c r="AC136" s="100">
        <f t="shared" si="779"/>
        <v>0</v>
      </c>
      <c r="AD136" s="100">
        <f t="shared" si="779"/>
        <v>0</v>
      </c>
      <c r="AE136" s="100">
        <f t="shared" si="779"/>
        <v>0</v>
      </c>
      <c r="AF136" s="100">
        <f t="shared" si="779"/>
        <v>0</v>
      </c>
      <c r="AG136" s="200">
        <f t="shared" si="779"/>
        <v>0</v>
      </c>
      <c r="AH136" s="165">
        <v>0</v>
      </c>
      <c r="AI136" s="100">
        <v>0</v>
      </c>
      <c r="AJ136" s="100">
        <v>0</v>
      </c>
      <c r="AK136" s="100">
        <v>0</v>
      </c>
      <c r="AL136" s="100">
        <v>0</v>
      </c>
      <c r="AM136" s="100">
        <v>0</v>
      </c>
      <c r="AN136" s="100">
        <v>0</v>
      </c>
      <c r="AO136" s="100">
        <v>0</v>
      </c>
      <c r="AP136" s="100">
        <v>0</v>
      </c>
      <c r="AQ136" s="100">
        <v>0</v>
      </c>
      <c r="AR136" s="100">
        <v>0</v>
      </c>
      <c r="AS136" s="200">
        <v>0</v>
      </c>
      <c r="AT136" s="165">
        <f>L136-AH136</f>
        <v>0</v>
      </c>
      <c r="AU136" s="100">
        <f t="shared" ref="AU136:BE140" si="780">M136-AI136</f>
        <v>0</v>
      </c>
      <c r="AV136" s="100">
        <f t="shared" si="780"/>
        <v>0</v>
      </c>
      <c r="AW136" s="100">
        <f t="shared" si="780"/>
        <v>0</v>
      </c>
      <c r="AX136" s="100">
        <f t="shared" si="780"/>
        <v>0</v>
      </c>
      <c r="AY136" s="100">
        <f t="shared" si="780"/>
        <v>0</v>
      </c>
      <c r="AZ136" s="100">
        <f t="shared" si="780"/>
        <v>0</v>
      </c>
      <c r="BA136" s="100">
        <f t="shared" si="780"/>
        <v>0</v>
      </c>
      <c r="BB136" s="100">
        <f t="shared" si="780"/>
        <v>0</v>
      </c>
      <c r="BC136" s="100">
        <f t="shared" si="780"/>
        <v>0</v>
      </c>
      <c r="BD136" s="100">
        <f t="shared" si="780"/>
        <v>0</v>
      </c>
      <c r="BE136" s="200">
        <f t="shared" si="780"/>
        <v>0</v>
      </c>
      <c r="BF136" s="165">
        <v>0</v>
      </c>
      <c r="BG136" s="100">
        <v>0</v>
      </c>
      <c r="BH136" s="100">
        <v>0</v>
      </c>
      <c r="BI136" s="100">
        <v>0</v>
      </c>
      <c r="BJ136" s="100">
        <v>0</v>
      </c>
      <c r="BK136" s="100">
        <v>0</v>
      </c>
      <c r="BL136" s="100">
        <v>0</v>
      </c>
      <c r="BM136" s="100">
        <v>0</v>
      </c>
      <c r="BN136" s="100">
        <v>0</v>
      </c>
      <c r="BO136" s="100">
        <v>0</v>
      </c>
      <c r="BP136" s="100">
        <v>0</v>
      </c>
      <c r="BQ136" s="200">
        <v>0</v>
      </c>
      <c r="BR136" s="165">
        <f t="shared" ref="BR136:BR140" si="781">AH136-BF136</f>
        <v>0</v>
      </c>
      <c r="BS136" s="100">
        <f t="shared" ref="BS136:BS140" si="782">AI136-BG136</f>
        <v>0</v>
      </c>
      <c r="BT136" s="100">
        <f t="shared" ref="BT136:BT140" si="783">AJ136-BH136</f>
        <v>0</v>
      </c>
      <c r="BU136" s="100">
        <f t="shared" ref="BU136:BU140" si="784">AK136-BI136</f>
        <v>0</v>
      </c>
      <c r="BV136" s="100">
        <f t="shared" ref="BV136:BV140" si="785">AL136-BJ136</f>
        <v>0</v>
      </c>
      <c r="BW136" s="100">
        <f t="shared" ref="BW136:BW140" si="786">AM136-BK136</f>
        <v>0</v>
      </c>
      <c r="BX136" s="100">
        <f t="shared" ref="BX136:BX140" si="787">AN136-BL136</f>
        <v>0</v>
      </c>
      <c r="BY136" s="100">
        <f t="shared" ref="BY136:BY140" si="788">AO136-BM136</f>
        <v>0</v>
      </c>
      <c r="BZ136" s="100">
        <f t="shared" ref="BZ136:BZ140" si="789">AP136-BN136</f>
        <v>0</v>
      </c>
      <c r="CA136" s="100">
        <f t="shared" ref="CA136:CA140" si="790">AQ136-BO136</f>
        <v>0</v>
      </c>
      <c r="CB136" s="100">
        <f t="shared" ref="CB136:CB140" si="791">AR136-BP136</f>
        <v>0</v>
      </c>
      <c r="CC136" s="200">
        <f t="shared" ref="CC136:CC140" si="792">AS136-BQ136</f>
        <v>0</v>
      </c>
      <c r="CD136" s="165">
        <v>0</v>
      </c>
      <c r="CE136" s="100">
        <v>0</v>
      </c>
      <c r="CF136" s="100">
        <v>0</v>
      </c>
      <c r="CG136" s="100">
        <v>0</v>
      </c>
      <c r="CH136" s="100">
        <v>0</v>
      </c>
      <c r="CI136" s="100">
        <v>0</v>
      </c>
      <c r="CJ136" s="100">
        <v>0</v>
      </c>
      <c r="CK136" s="100">
        <v>0</v>
      </c>
      <c r="CL136" s="100">
        <v>0</v>
      </c>
      <c r="CM136" s="100">
        <v>1</v>
      </c>
      <c r="CN136" s="100">
        <v>3</v>
      </c>
      <c r="CO136" s="200">
        <v>2</v>
      </c>
      <c r="CP136" s="165"/>
      <c r="CQ136" s="100"/>
      <c r="CR136" s="100"/>
      <c r="CS136" s="100"/>
      <c r="CT136" s="100"/>
      <c r="CU136" s="100"/>
      <c r="CV136" s="100"/>
      <c r="CW136" s="100"/>
      <c r="CX136" s="100"/>
      <c r="CY136" s="100"/>
      <c r="CZ136" s="100"/>
      <c r="DA136" s="200"/>
      <c r="DB136" s="165">
        <v>2</v>
      </c>
      <c r="DC136" s="100">
        <v>2</v>
      </c>
      <c r="DD136" s="100">
        <v>3</v>
      </c>
      <c r="DE136" s="100">
        <v>6</v>
      </c>
      <c r="DF136" s="100">
        <v>6</v>
      </c>
      <c r="DG136" s="100">
        <v>22</v>
      </c>
      <c r="DH136" s="100">
        <v>21</v>
      </c>
      <c r="DI136" s="100">
        <v>20</v>
      </c>
      <c r="DJ136" s="100">
        <v>16</v>
      </c>
      <c r="DK136" s="100">
        <v>15</v>
      </c>
      <c r="DL136" s="100">
        <v>15</v>
      </c>
      <c r="DM136" s="200"/>
      <c r="DN136" s="165">
        <f t="shared" si="748"/>
        <v>2</v>
      </c>
      <c r="DO136" s="100">
        <f t="shared" si="748"/>
        <v>2</v>
      </c>
      <c r="DP136" s="100">
        <f t="shared" ref="DP136:DP140" si="793">DD136-CF136</f>
        <v>3</v>
      </c>
      <c r="DQ136" s="100">
        <f t="shared" ref="DQ136:DQ140" si="794">DE136-CG136</f>
        <v>6</v>
      </c>
      <c r="DR136" s="100">
        <f t="shared" ref="DR136:DR140" si="795">DF136-CH136</f>
        <v>6</v>
      </c>
      <c r="DS136" s="100">
        <f t="shared" ref="DS136:DS140" si="796">DG136-CI136</f>
        <v>22</v>
      </c>
      <c r="DT136" s="100">
        <f t="shared" ref="DT136:DT140" si="797">DH136-CJ136</f>
        <v>21</v>
      </c>
      <c r="DU136" s="100">
        <f t="shared" ref="DU136:DU140" si="798">DI136-CK136</f>
        <v>20</v>
      </c>
      <c r="DV136" s="100">
        <f t="shared" ref="DV136:DV140" si="799">DJ136-CL136</f>
        <v>16</v>
      </c>
      <c r="DW136" s="100">
        <f t="shared" ref="DW136:DW140" si="800">DK136-CM136</f>
        <v>14</v>
      </c>
      <c r="DX136" s="100">
        <f t="shared" ref="DX136:DX140" si="801">DL136-CN136</f>
        <v>12</v>
      </c>
      <c r="DY136" s="200">
        <f t="shared" ref="DY136:DY140" si="802">DM136-CO136</f>
        <v>-2</v>
      </c>
    </row>
    <row r="137" spans="1:129" x14ac:dyDescent="0.25">
      <c r="A137" s="181" t="s">
        <v>35</v>
      </c>
      <c r="B137" s="165">
        <v>0</v>
      </c>
      <c r="C137" s="100">
        <v>0</v>
      </c>
      <c r="D137" s="100">
        <v>0</v>
      </c>
      <c r="E137" s="100">
        <v>0</v>
      </c>
      <c r="F137" s="100">
        <v>0</v>
      </c>
      <c r="G137" s="100">
        <v>0</v>
      </c>
      <c r="H137" s="100">
        <v>0</v>
      </c>
      <c r="I137" s="100">
        <v>0</v>
      </c>
      <c r="J137" s="100">
        <v>0</v>
      </c>
      <c r="K137" s="100">
        <v>0</v>
      </c>
      <c r="L137" s="165">
        <v>0</v>
      </c>
      <c r="M137" s="100">
        <v>0</v>
      </c>
      <c r="N137" s="100">
        <v>0</v>
      </c>
      <c r="O137" s="100">
        <v>0</v>
      </c>
      <c r="P137" s="100">
        <v>0</v>
      </c>
      <c r="Q137" s="100">
        <v>0</v>
      </c>
      <c r="R137" s="100">
        <v>0</v>
      </c>
      <c r="S137" s="100">
        <v>0</v>
      </c>
      <c r="T137" s="100">
        <v>0</v>
      </c>
      <c r="U137" s="100">
        <v>0</v>
      </c>
      <c r="V137" s="100">
        <v>0</v>
      </c>
      <c r="W137" s="100">
        <v>0</v>
      </c>
      <c r="X137" s="165">
        <f t="shared" si="779"/>
        <v>0</v>
      </c>
      <c r="Y137" s="100">
        <f t="shared" si="779"/>
        <v>0</v>
      </c>
      <c r="Z137" s="100">
        <f t="shared" si="779"/>
        <v>0</v>
      </c>
      <c r="AA137" s="100">
        <f t="shared" si="779"/>
        <v>0</v>
      </c>
      <c r="AB137" s="100">
        <f t="shared" si="779"/>
        <v>0</v>
      </c>
      <c r="AC137" s="100">
        <f t="shared" si="779"/>
        <v>0</v>
      </c>
      <c r="AD137" s="100">
        <f t="shared" si="779"/>
        <v>0</v>
      </c>
      <c r="AE137" s="100">
        <f t="shared" si="779"/>
        <v>0</v>
      </c>
      <c r="AF137" s="100">
        <f t="shared" si="779"/>
        <v>0</v>
      </c>
      <c r="AG137" s="200">
        <f t="shared" si="779"/>
        <v>0</v>
      </c>
      <c r="AH137" s="165">
        <v>0</v>
      </c>
      <c r="AI137" s="100">
        <v>0</v>
      </c>
      <c r="AJ137" s="100">
        <v>0</v>
      </c>
      <c r="AK137" s="100">
        <v>0</v>
      </c>
      <c r="AL137" s="100">
        <v>0</v>
      </c>
      <c r="AM137" s="100">
        <v>0</v>
      </c>
      <c r="AN137" s="100">
        <v>0</v>
      </c>
      <c r="AO137" s="100">
        <v>0</v>
      </c>
      <c r="AP137" s="100">
        <v>0</v>
      </c>
      <c r="AQ137" s="100">
        <v>0</v>
      </c>
      <c r="AR137" s="100">
        <v>0</v>
      </c>
      <c r="AS137" s="200">
        <v>0</v>
      </c>
      <c r="AT137" s="165">
        <f t="shared" ref="AT137:AT140" si="803">L137-AH137</f>
        <v>0</v>
      </c>
      <c r="AU137" s="100">
        <f t="shared" si="780"/>
        <v>0</v>
      </c>
      <c r="AV137" s="100">
        <f t="shared" si="780"/>
        <v>0</v>
      </c>
      <c r="AW137" s="100">
        <f t="shared" si="780"/>
        <v>0</v>
      </c>
      <c r="AX137" s="100">
        <f t="shared" si="780"/>
        <v>0</v>
      </c>
      <c r="AY137" s="100">
        <f t="shared" si="780"/>
        <v>0</v>
      </c>
      <c r="AZ137" s="100">
        <f t="shared" si="780"/>
        <v>0</v>
      </c>
      <c r="BA137" s="100">
        <f t="shared" si="780"/>
        <v>0</v>
      </c>
      <c r="BB137" s="100">
        <f t="shared" si="780"/>
        <v>0</v>
      </c>
      <c r="BC137" s="100">
        <f t="shared" si="780"/>
        <v>0</v>
      </c>
      <c r="BD137" s="100">
        <f t="shared" si="780"/>
        <v>0</v>
      </c>
      <c r="BE137" s="200">
        <f t="shared" si="780"/>
        <v>0</v>
      </c>
      <c r="BF137" s="165">
        <v>0</v>
      </c>
      <c r="BG137" s="100">
        <v>0</v>
      </c>
      <c r="BH137" s="100">
        <v>0</v>
      </c>
      <c r="BI137" s="100">
        <v>0</v>
      </c>
      <c r="BJ137" s="100">
        <v>0</v>
      </c>
      <c r="BK137" s="100">
        <v>0</v>
      </c>
      <c r="BL137" s="100">
        <v>0</v>
      </c>
      <c r="BM137" s="100">
        <v>0</v>
      </c>
      <c r="BN137" s="100">
        <v>0</v>
      </c>
      <c r="BO137" s="100">
        <v>0</v>
      </c>
      <c r="BP137" s="100">
        <v>0</v>
      </c>
      <c r="BQ137" s="200">
        <v>0</v>
      </c>
      <c r="BR137" s="165">
        <f t="shared" si="781"/>
        <v>0</v>
      </c>
      <c r="BS137" s="100">
        <f t="shared" si="782"/>
        <v>0</v>
      </c>
      <c r="BT137" s="100">
        <f t="shared" si="783"/>
        <v>0</v>
      </c>
      <c r="BU137" s="100">
        <f t="shared" si="784"/>
        <v>0</v>
      </c>
      <c r="BV137" s="100">
        <f t="shared" si="785"/>
        <v>0</v>
      </c>
      <c r="BW137" s="100">
        <f t="shared" si="786"/>
        <v>0</v>
      </c>
      <c r="BX137" s="100">
        <f t="shared" si="787"/>
        <v>0</v>
      </c>
      <c r="BY137" s="100">
        <f t="shared" si="788"/>
        <v>0</v>
      </c>
      <c r="BZ137" s="100">
        <f t="shared" si="789"/>
        <v>0</v>
      </c>
      <c r="CA137" s="100">
        <f t="shared" si="790"/>
        <v>0</v>
      </c>
      <c r="CB137" s="100">
        <f t="shared" si="791"/>
        <v>0</v>
      </c>
      <c r="CC137" s="200">
        <f t="shared" si="792"/>
        <v>0</v>
      </c>
      <c r="CD137" s="165">
        <v>0</v>
      </c>
      <c r="CE137" s="100">
        <v>0</v>
      </c>
      <c r="CF137" s="100">
        <v>0</v>
      </c>
      <c r="CG137" s="100">
        <v>0</v>
      </c>
      <c r="CH137" s="100">
        <v>0</v>
      </c>
      <c r="CI137" s="100">
        <v>0</v>
      </c>
      <c r="CJ137" s="100">
        <v>0</v>
      </c>
      <c r="CK137" s="100">
        <v>0</v>
      </c>
      <c r="CL137" s="100">
        <v>0</v>
      </c>
      <c r="CM137" s="100">
        <v>0</v>
      </c>
      <c r="CN137" s="100">
        <v>1</v>
      </c>
      <c r="CO137" s="200">
        <v>1</v>
      </c>
      <c r="CP137" s="165"/>
      <c r="CQ137" s="100"/>
      <c r="CR137" s="100"/>
      <c r="CS137" s="100"/>
      <c r="CT137" s="100"/>
      <c r="CU137" s="100"/>
      <c r="CV137" s="100"/>
      <c r="CW137" s="100"/>
      <c r="CX137" s="100"/>
      <c r="CY137" s="100"/>
      <c r="CZ137" s="100"/>
      <c r="DA137" s="200"/>
      <c r="DB137" s="165">
        <v>2</v>
      </c>
      <c r="DC137" s="100">
        <v>2</v>
      </c>
      <c r="DD137" s="100">
        <v>2</v>
      </c>
      <c r="DE137" s="100">
        <v>2</v>
      </c>
      <c r="DF137" s="100">
        <v>2</v>
      </c>
      <c r="DG137" s="100">
        <v>5</v>
      </c>
      <c r="DH137" s="100">
        <v>8</v>
      </c>
      <c r="DI137" s="100">
        <v>8</v>
      </c>
      <c r="DJ137" s="100">
        <v>6</v>
      </c>
      <c r="DK137" s="100">
        <v>7</v>
      </c>
      <c r="DL137" s="100">
        <v>7</v>
      </c>
      <c r="DM137" s="200"/>
      <c r="DN137" s="165">
        <f t="shared" si="748"/>
        <v>2</v>
      </c>
      <c r="DO137" s="100">
        <f t="shared" si="748"/>
        <v>2</v>
      </c>
      <c r="DP137" s="100">
        <f t="shared" si="793"/>
        <v>2</v>
      </c>
      <c r="DQ137" s="100">
        <f t="shared" si="794"/>
        <v>2</v>
      </c>
      <c r="DR137" s="100">
        <f t="shared" si="795"/>
        <v>2</v>
      </c>
      <c r="DS137" s="100">
        <f t="shared" si="796"/>
        <v>5</v>
      </c>
      <c r="DT137" s="100">
        <f t="shared" si="797"/>
        <v>8</v>
      </c>
      <c r="DU137" s="100">
        <f t="shared" si="798"/>
        <v>8</v>
      </c>
      <c r="DV137" s="100">
        <f t="shared" si="799"/>
        <v>6</v>
      </c>
      <c r="DW137" s="100">
        <f t="shared" si="800"/>
        <v>7</v>
      </c>
      <c r="DX137" s="100">
        <f t="shared" si="801"/>
        <v>6</v>
      </c>
      <c r="DY137" s="200">
        <f t="shared" si="802"/>
        <v>-1</v>
      </c>
    </row>
    <row r="138" spans="1:129" x14ac:dyDescent="0.25">
      <c r="A138" s="181" t="s">
        <v>36</v>
      </c>
      <c r="B138" s="165">
        <v>0</v>
      </c>
      <c r="C138" s="100">
        <v>0</v>
      </c>
      <c r="D138" s="100">
        <v>0</v>
      </c>
      <c r="E138" s="100">
        <v>0</v>
      </c>
      <c r="F138" s="100">
        <v>0</v>
      </c>
      <c r="G138" s="100">
        <v>0</v>
      </c>
      <c r="H138" s="100">
        <v>0</v>
      </c>
      <c r="I138" s="100">
        <v>0</v>
      </c>
      <c r="J138" s="100">
        <v>0</v>
      </c>
      <c r="K138" s="100">
        <v>0</v>
      </c>
      <c r="L138" s="165">
        <v>0</v>
      </c>
      <c r="M138" s="100">
        <v>0</v>
      </c>
      <c r="N138" s="100">
        <v>0</v>
      </c>
      <c r="O138" s="100">
        <v>0</v>
      </c>
      <c r="P138" s="100">
        <v>0</v>
      </c>
      <c r="Q138" s="100">
        <v>0</v>
      </c>
      <c r="R138" s="100">
        <v>0</v>
      </c>
      <c r="S138" s="100">
        <v>0</v>
      </c>
      <c r="T138" s="100">
        <v>0</v>
      </c>
      <c r="U138" s="100">
        <v>0</v>
      </c>
      <c r="V138" s="100">
        <v>0</v>
      </c>
      <c r="W138" s="100">
        <v>0</v>
      </c>
      <c r="X138" s="165">
        <f t="shared" si="779"/>
        <v>0</v>
      </c>
      <c r="Y138" s="100">
        <f t="shared" si="779"/>
        <v>0</v>
      </c>
      <c r="Z138" s="100">
        <f t="shared" si="779"/>
        <v>0</v>
      </c>
      <c r="AA138" s="100">
        <f t="shared" si="779"/>
        <v>0</v>
      </c>
      <c r="AB138" s="100">
        <f t="shared" si="779"/>
        <v>0</v>
      </c>
      <c r="AC138" s="100">
        <f t="shared" si="779"/>
        <v>0</v>
      </c>
      <c r="AD138" s="100">
        <f t="shared" si="779"/>
        <v>0</v>
      </c>
      <c r="AE138" s="100">
        <f t="shared" si="779"/>
        <v>0</v>
      </c>
      <c r="AF138" s="100">
        <f t="shared" si="779"/>
        <v>0</v>
      </c>
      <c r="AG138" s="200">
        <f t="shared" si="779"/>
        <v>0</v>
      </c>
      <c r="AH138" s="165">
        <v>0</v>
      </c>
      <c r="AI138" s="100">
        <v>0</v>
      </c>
      <c r="AJ138" s="100">
        <v>0</v>
      </c>
      <c r="AK138" s="100">
        <v>0</v>
      </c>
      <c r="AL138" s="100">
        <v>0</v>
      </c>
      <c r="AM138" s="100">
        <v>0</v>
      </c>
      <c r="AN138" s="100">
        <v>0</v>
      </c>
      <c r="AO138" s="100">
        <v>0</v>
      </c>
      <c r="AP138" s="100">
        <v>0</v>
      </c>
      <c r="AQ138" s="100">
        <v>0</v>
      </c>
      <c r="AR138" s="100">
        <v>0</v>
      </c>
      <c r="AS138" s="200">
        <v>0</v>
      </c>
      <c r="AT138" s="165">
        <f t="shared" si="803"/>
        <v>0</v>
      </c>
      <c r="AU138" s="100">
        <f t="shared" si="780"/>
        <v>0</v>
      </c>
      <c r="AV138" s="100">
        <f t="shared" si="780"/>
        <v>0</v>
      </c>
      <c r="AW138" s="100">
        <f t="shared" si="780"/>
        <v>0</v>
      </c>
      <c r="AX138" s="100">
        <f t="shared" si="780"/>
        <v>0</v>
      </c>
      <c r="AY138" s="100">
        <f t="shared" si="780"/>
        <v>0</v>
      </c>
      <c r="AZ138" s="100">
        <f t="shared" si="780"/>
        <v>0</v>
      </c>
      <c r="BA138" s="100">
        <f t="shared" si="780"/>
        <v>0</v>
      </c>
      <c r="BB138" s="100">
        <f t="shared" si="780"/>
        <v>0</v>
      </c>
      <c r="BC138" s="100">
        <f t="shared" si="780"/>
        <v>0</v>
      </c>
      <c r="BD138" s="100">
        <f t="shared" si="780"/>
        <v>0</v>
      </c>
      <c r="BE138" s="200">
        <f t="shared" si="780"/>
        <v>0</v>
      </c>
      <c r="BF138" s="165">
        <v>0</v>
      </c>
      <c r="BG138" s="100">
        <v>0</v>
      </c>
      <c r="BH138" s="100">
        <v>0</v>
      </c>
      <c r="BI138" s="100">
        <v>0</v>
      </c>
      <c r="BJ138" s="100">
        <v>0</v>
      </c>
      <c r="BK138" s="100">
        <v>0</v>
      </c>
      <c r="BL138" s="100">
        <v>0</v>
      </c>
      <c r="BM138" s="100">
        <v>0</v>
      </c>
      <c r="BN138" s="100">
        <v>0</v>
      </c>
      <c r="BO138" s="100">
        <v>0</v>
      </c>
      <c r="BP138" s="100">
        <v>0</v>
      </c>
      <c r="BQ138" s="200">
        <v>0</v>
      </c>
      <c r="BR138" s="165">
        <f t="shared" si="781"/>
        <v>0</v>
      </c>
      <c r="BS138" s="100">
        <f t="shared" si="782"/>
        <v>0</v>
      </c>
      <c r="BT138" s="100">
        <f t="shared" si="783"/>
        <v>0</v>
      </c>
      <c r="BU138" s="100">
        <f t="shared" si="784"/>
        <v>0</v>
      </c>
      <c r="BV138" s="100">
        <f t="shared" si="785"/>
        <v>0</v>
      </c>
      <c r="BW138" s="100">
        <f t="shared" si="786"/>
        <v>0</v>
      </c>
      <c r="BX138" s="100">
        <f t="shared" si="787"/>
        <v>0</v>
      </c>
      <c r="BY138" s="100">
        <f t="shared" si="788"/>
        <v>0</v>
      </c>
      <c r="BZ138" s="100">
        <f t="shared" si="789"/>
        <v>0</v>
      </c>
      <c r="CA138" s="100">
        <f t="shared" si="790"/>
        <v>0</v>
      </c>
      <c r="CB138" s="100">
        <f t="shared" si="791"/>
        <v>0</v>
      </c>
      <c r="CC138" s="200">
        <f t="shared" si="792"/>
        <v>0</v>
      </c>
      <c r="CD138" s="165">
        <v>0</v>
      </c>
      <c r="CE138" s="100">
        <v>0</v>
      </c>
      <c r="CF138" s="100">
        <v>0</v>
      </c>
      <c r="CG138" s="100">
        <v>0</v>
      </c>
      <c r="CH138" s="100">
        <v>0</v>
      </c>
      <c r="CI138" s="100">
        <v>0</v>
      </c>
      <c r="CJ138" s="100">
        <v>0</v>
      </c>
      <c r="CK138" s="100">
        <v>0</v>
      </c>
      <c r="CL138" s="100">
        <v>0</v>
      </c>
      <c r="CM138" s="100">
        <v>0</v>
      </c>
      <c r="CN138" s="100">
        <v>0</v>
      </c>
      <c r="CO138" s="200">
        <v>10</v>
      </c>
      <c r="CP138" s="165"/>
      <c r="CQ138" s="100"/>
      <c r="CR138" s="100"/>
      <c r="CS138" s="100"/>
      <c r="CT138" s="100"/>
      <c r="CU138" s="100"/>
      <c r="CV138" s="100"/>
      <c r="CW138" s="100"/>
      <c r="CX138" s="100"/>
      <c r="CY138" s="100"/>
      <c r="CZ138" s="100"/>
      <c r="DA138" s="200"/>
      <c r="DB138" s="165">
        <v>0</v>
      </c>
      <c r="DC138" s="100"/>
      <c r="DD138" s="100">
        <v>0</v>
      </c>
      <c r="DE138" s="100">
        <v>0</v>
      </c>
      <c r="DF138" s="100">
        <v>0</v>
      </c>
      <c r="DG138" s="100">
        <v>0</v>
      </c>
      <c r="DH138" s="100">
        <v>0</v>
      </c>
      <c r="DI138" s="100">
        <v>0</v>
      </c>
      <c r="DJ138" s="100">
        <v>0</v>
      </c>
      <c r="DK138" s="100">
        <v>0</v>
      </c>
      <c r="DL138" s="100">
        <v>0</v>
      </c>
      <c r="DM138" s="200"/>
      <c r="DN138" s="165">
        <f t="shared" si="748"/>
        <v>0</v>
      </c>
      <c r="DO138" s="100">
        <f t="shared" si="748"/>
        <v>0</v>
      </c>
      <c r="DP138" s="100">
        <f t="shared" si="793"/>
        <v>0</v>
      </c>
      <c r="DQ138" s="100">
        <f t="shared" si="794"/>
        <v>0</v>
      </c>
      <c r="DR138" s="100">
        <f t="shared" si="795"/>
        <v>0</v>
      </c>
      <c r="DS138" s="100">
        <f t="shared" si="796"/>
        <v>0</v>
      </c>
      <c r="DT138" s="100">
        <f t="shared" si="797"/>
        <v>0</v>
      </c>
      <c r="DU138" s="100">
        <f t="shared" si="798"/>
        <v>0</v>
      </c>
      <c r="DV138" s="100">
        <f t="shared" si="799"/>
        <v>0</v>
      </c>
      <c r="DW138" s="100">
        <f t="shared" si="800"/>
        <v>0</v>
      </c>
      <c r="DX138" s="100">
        <f t="shared" si="801"/>
        <v>0</v>
      </c>
      <c r="DY138" s="200">
        <f t="shared" si="802"/>
        <v>-10</v>
      </c>
    </row>
    <row r="139" spans="1:129" x14ac:dyDescent="0.25">
      <c r="A139" s="181" t="s">
        <v>37</v>
      </c>
      <c r="B139" s="165">
        <v>0</v>
      </c>
      <c r="C139" s="100">
        <v>0</v>
      </c>
      <c r="D139" s="100">
        <v>0</v>
      </c>
      <c r="E139" s="100">
        <v>0</v>
      </c>
      <c r="F139" s="100">
        <v>0</v>
      </c>
      <c r="G139" s="100">
        <v>0</v>
      </c>
      <c r="H139" s="100">
        <v>0</v>
      </c>
      <c r="I139" s="100">
        <v>0</v>
      </c>
      <c r="J139" s="100">
        <v>0</v>
      </c>
      <c r="K139" s="100">
        <v>0</v>
      </c>
      <c r="L139" s="165">
        <v>0</v>
      </c>
      <c r="M139" s="100">
        <v>0</v>
      </c>
      <c r="N139" s="100">
        <v>0</v>
      </c>
      <c r="O139" s="100">
        <v>0</v>
      </c>
      <c r="P139" s="100">
        <v>0</v>
      </c>
      <c r="Q139" s="100">
        <v>0</v>
      </c>
      <c r="R139" s="100">
        <v>0</v>
      </c>
      <c r="S139" s="100">
        <v>0</v>
      </c>
      <c r="T139" s="100">
        <v>0</v>
      </c>
      <c r="U139" s="100">
        <v>0</v>
      </c>
      <c r="V139" s="100">
        <v>0</v>
      </c>
      <c r="W139" s="100">
        <v>0</v>
      </c>
      <c r="X139" s="165">
        <f t="shared" si="779"/>
        <v>0</v>
      </c>
      <c r="Y139" s="100">
        <f t="shared" si="779"/>
        <v>0</v>
      </c>
      <c r="Z139" s="100">
        <f t="shared" si="779"/>
        <v>0</v>
      </c>
      <c r="AA139" s="100">
        <f t="shared" si="779"/>
        <v>0</v>
      </c>
      <c r="AB139" s="100">
        <f t="shared" si="779"/>
        <v>0</v>
      </c>
      <c r="AC139" s="100">
        <f t="shared" si="779"/>
        <v>0</v>
      </c>
      <c r="AD139" s="100">
        <f t="shared" si="779"/>
        <v>0</v>
      </c>
      <c r="AE139" s="100">
        <f t="shared" si="779"/>
        <v>0</v>
      </c>
      <c r="AF139" s="100">
        <f t="shared" si="779"/>
        <v>0</v>
      </c>
      <c r="AG139" s="200">
        <f t="shared" si="779"/>
        <v>0</v>
      </c>
      <c r="AH139" s="165">
        <v>0</v>
      </c>
      <c r="AI139" s="100">
        <v>0</v>
      </c>
      <c r="AJ139" s="100">
        <v>0</v>
      </c>
      <c r="AK139" s="100">
        <v>0</v>
      </c>
      <c r="AL139" s="100">
        <v>0</v>
      </c>
      <c r="AM139" s="100">
        <v>0</v>
      </c>
      <c r="AN139" s="100">
        <v>0</v>
      </c>
      <c r="AO139" s="100">
        <v>0</v>
      </c>
      <c r="AP139" s="100">
        <v>0</v>
      </c>
      <c r="AQ139" s="100">
        <v>0</v>
      </c>
      <c r="AR139" s="100">
        <v>0</v>
      </c>
      <c r="AS139" s="200">
        <v>0</v>
      </c>
      <c r="AT139" s="165">
        <f t="shared" si="803"/>
        <v>0</v>
      </c>
      <c r="AU139" s="100">
        <f t="shared" si="780"/>
        <v>0</v>
      </c>
      <c r="AV139" s="100">
        <f t="shared" si="780"/>
        <v>0</v>
      </c>
      <c r="AW139" s="100">
        <f t="shared" si="780"/>
        <v>0</v>
      </c>
      <c r="AX139" s="100">
        <f t="shared" si="780"/>
        <v>0</v>
      </c>
      <c r="AY139" s="100">
        <f t="shared" si="780"/>
        <v>0</v>
      </c>
      <c r="AZ139" s="100">
        <f t="shared" si="780"/>
        <v>0</v>
      </c>
      <c r="BA139" s="100">
        <f t="shared" si="780"/>
        <v>0</v>
      </c>
      <c r="BB139" s="100">
        <f t="shared" si="780"/>
        <v>0</v>
      </c>
      <c r="BC139" s="100">
        <f t="shared" si="780"/>
        <v>0</v>
      </c>
      <c r="BD139" s="100">
        <f t="shared" si="780"/>
        <v>0</v>
      </c>
      <c r="BE139" s="200">
        <f t="shared" si="780"/>
        <v>0</v>
      </c>
      <c r="BF139" s="165">
        <v>0</v>
      </c>
      <c r="BG139" s="100">
        <v>0</v>
      </c>
      <c r="BH139" s="100">
        <v>0</v>
      </c>
      <c r="BI139" s="100">
        <v>0</v>
      </c>
      <c r="BJ139" s="100">
        <v>0</v>
      </c>
      <c r="BK139" s="100">
        <v>0</v>
      </c>
      <c r="BL139" s="100">
        <v>0</v>
      </c>
      <c r="BM139" s="100">
        <v>0</v>
      </c>
      <c r="BN139" s="100">
        <v>0</v>
      </c>
      <c r="BO139" s="100">
        <v>0</v>
      </c>
      <c r="BP139" s="100">
        <v>0</v>
      </c>
      <c r="BQ139" s="200">
        <v>0</v>
      </c>
      <c r="BR139" s="165">
        <f t="shared" si="781"/>
        <v>0</v>
      </c>
      <c r="BS139" s="100">
        <f t="shared" si="782"/>
        <v>0</v>
      </c>
      <c r="BT139" s="100">
        <f t="shared" si="783"/>
        <v>0</v>
      </c>
      <c r="BU139" s="100">
        <f t="shared" si="784"/>
        <v>0</v>
      </c>
      <c r="BV139" s="100">
        <f t="shared" si="785"/>
        <v>0</v>
      </c>
      <c r="BW139" s="100">
        <f t="shared" si="786"/>
        <v>0</v>
      </c>
      <c r="BX139" s="100">
        <f t="shared" si="787"/>
        <v>0</v>
      </c>
      <c r="BY139" s="100">
        <f t="shared" si="788"/>
        <v>0</v>
      </c>
      <c r="BZ139" s="100">
        <f t="shared" si="789"/>
        <v>0</v>
      </c>
      <c r="CA139" s="100">
        <f t="shared" si="790"/>
        <v>0</v>
      </c>
      <c r="CB139" s="100">
        <f t="shared" si="791"/>
        <v>0</v>
      </c>
      <c r="CC139" s="200">
        <f t="shared" si="792"/>
        <v>0</v>
      </c>
      <c r="CD139" s="165">
        <v>0</v>
      </c>
      <c r="CE139" s="100">
        <v>0</v>
      </c>
      <c r="CF139" s="100">
        <v>0</v>
      </c>
      <c r="CG139" s="100">
        <v>0</v>
      </c>
      <c r="CH139" s="100">
        <v>0</v>
      </c>
      <c r="CI139" s="100">
        <v>0</v>
      </c>
      <c r="CJ139" s="100">
        <v>0</v>
      </c>
      <c r="CK139" s="100">
        <v>0</v>
      </c>
      <c r="CL139" s="100">
        <v>0</v>
      </c>
      <c r="CM139" s="100">
        <v>0</v>
      </c>
      <c r="CN139" s="100">
        <v>0</v>
      </c>
      <c r="CO139" s="200">
        <v>2</v>
      </c>
      <c r="CP139" s="165"/>
      <c r="CQ139" s="100"/>
      <c r="CR139" s="100"/>
      <c r="CS139" s="100"/>
      <c r="CT139" s="100"/>
      <c r="CU139" s="100"/>
      <c r="CV139" s="100"/>
      <c r="CW139" s="100"/>
      <c r="CX139" s="100"/>
      <c r="CY139" s="100"/>
      <c r="CZ139" s="100"/>
      <c r="DA139" s="200"/>
      <c r="DB139" s="165">
        <v>0</v>
      </c>
      <c r="DC139" s="100">
        <v>0</v>
      </c>
      <c r="DD139" s="100">
        <v>0</v>
      </c>
      <c r="DE139" s="100">
        <v>0</v>
      </c>
      <c r="DF139" s="100">
        <v>0</v>
      </c>
      <c r="DG139" s="100">
        <v>0</v>
      </c>
      <c r="DH139" s="100">
        <v>0</v>
      </c>
      <c r="DI139" s="100">
        <v>0</v>
      </c>
      <c r="DJ139" s="100">
        <v>0</v>
      </c>
      <c r="DK139" s="100">
        <v>0</v>
      </c>
      <c r="DL139" s="100">
        <v>0</v>
      </c>
      <c r="DM139" s="200"/>
      <c r="DN139" s="165">
        <f t="shared" si="748"/>
        <v>0</v>
      </c>
      <c r="DO139" s="100">
        <f t="shared" si="748"/>
        <v>0</v>
      </c>
      <c r="DP139" s="100">
        <f t="shared" si="793"/>
        <v>0</v>
      </c>
      <c r="DQ139" s="100">
        <f t="shared" si="794"/>
        <v>0</v>
      </c>
      <c r="DR139" s="100">
        <f t="shared" si="795"/>
        <v>0</v>
      </c>
      <c r="DS139" s="100">
        <f t="shared" si="796"/>
        <v>0</v>
      </c>
      <c r="DT139" s="100">
        <f t="shared" si="797"/>
        <v>0</v>
      </c>
      <c r="DU139" s="100">
        <f t="shared" si="798"/>
        <v>0</v>
      </c>
      <c r="DV139" s="100">
        <f t="shared" si="799"/>
        <v>0</v>
      </c>
      <c r="DW139" s="100">
        <f t="shared" si="800"/>
        <v>0</v>
      </c>
      <c r="DX139" s="100">
        <f t="shared" si="801"/>
        <v>0</v>
      </c>
      <c r="DY139" s="200">
        <f t="shared" si="802"/>
        <v>-2</v>
      </c>
    </row>
    <row r="140" spans="1:129" x14ac:dyDescent="0.25">
      <c r="A140" s="181" t="s">
        <v>38</v>
      </c>
      <c r="B140" s="165">
        <v>0</v>
      </c>
      <c r="C140" s="100">
        <v>0</v>
      </c>
      <c r="D140" s="100">
        <v>0</v>
      </c>
      <c r="E140" s="100">
        <v>0</v>
      </c>
      <c r="F140" s="100">
        <v>0</v>
      </c>
      <c r="G140" s="100">
        <v>0</v>
      </c>
      <c r="H140" s="100">
        <v>0</v>
      </c>
      <c r="I140" s="100">
        <v>0</v>
      </c>
      <c r="J140" s="100">
        <v>0</v>
      </c>
      <c r="K140" s="100">
        <v>0</v>
      </c>
      <c r="L140" s="165">
        <v>0</v>
      </c>
      <c r="M140" s="100">
        <v>0</v>
      </c>
      <c r="N140" s="100">
        <v>0</v>
      </c>
      <c r="O140" s="100">
        <v>0</v>
      </c>
      <c r="P140" s="100">
        <v>0</v>
      </c>
      <c r="Q140" s="100">
        <v>0</v>
      </c>
      <c r="R140" s="100">
        <v>0</v>
      </c>
      <c r="S140" s="100">
        <v>0</v>
      </c>
      <c r="T140" s="100">
        <v>0</v>
      </c>
      <c r="U140" s="100">
        <v>0</v>
      </c>
      <c r="V140" s="100">
        <v>0</v>
      </c>
      <c r="W140" s="100">
        <v>0</v>
      </c>
      <c r="X140" s="165">
        <f t="shared" si="779"/>
        <v>0</v>
      </c>
      <c r="Y140" s="100">
        <f t="shared" si="779"/>
        <v>0</v>
      </c>
      <c r="Z140" s="100">
        <f t="shared" si="779"/>
        <v>0</v>
      </c>
      <c r="AA140" s="100">
        <f t="shared" si="779"/>
        <v>0</v>
      </c>
      <c r="AB140" s="100">
        <f t="shared" si="779"/>
        <v>0</v>
      </c>
      <c r="AC140" s="100">
        <f t="shared" si="779"/>
        <v>0</v>
      </c>
      <c r="AD140" s="100">
        <f t="shared" si="779"/>
        <v>0</v>
      </c>
      <c r="AE140" s="100">
        <f t="shared" si="779"/>
        <v>0</v>
      </c>
      <c r="AF140" s="100">
        <f t="shared" si="779"/>
        <v>0</v>
      </c>
      <c r="AG140" s="200">
        <f t="shared" si="779"/>
        <v>0</v>
      </c>
      <c r="AH140" s="165">
        <v>0</v>
      </c>
      <c r="AI140" s="100">
        <v>0</v>
      </c>
      <c r="AJ140" s="100">
        <v>0</v>
      </c>
      <c r="AK140" s="100">
        <v>0</v>
      </c>
      <c r="AL140" s="100">
        <v>0</v>
      </c>
      <c r="AM140" s="100">
        <v>0</v>
      </c>
      <c r="AN140" s="100">
        <v>0</v>
      </c>
      <c r="AO140" s="100">
        <v>0</v>
      </c>
      <c r="AP140" s="100">
        <v>0</v>
      </c>
      <c r="AQ140" s="100">
        <v>0</v>
      </c>
      <c r="AR140" s="100">
        <v>0</v>
      </c>
      <c r="AS140" s="200">
        <v>0</v>
      </c>
      <c r="AT140" s="165">
        <f t="shared" si="803"/>
        <v>0</v>
      </c>
      <c r="AU140" s="100">
        <f t="shared" si="780"/>
        <v>0</v>
      </c>
      <c r="AV140" s="100">
        <f t="shared" si="780"/>
        <v>0</v>
      </c>
      <c r="AW140" s="100">
        <f t="shared" si="780"/>
        <v>0</v>
      </c>
      <c r="AX140" s="100">
        <f t="shared" si="780"/>
        <v>0</v>
      </c>
      <c r="AY140" s="100">
        <f t="shared" si="780"/>
        <v>0</v>
      </c>
      <c r="AZ140" s="100">
        <f t="shared" si="780"/>
        <v>0</v>
      </c>
      <c r="BA140" s="100">
        <f t="shared" si="780"/>
        <v>0</v>
      </c>
      <c r="BB140" s="100">
        <f t="shared" si="780"/>
        <v>0</v>
      </c>
      <c r="BC140" s="100">
        <f t="shared" si="780"/>
        <v>0</v>
      </c>
      <c r="BD140" s="100">
        <f t="shared" si="780"/>
        <v>0</v>
      </c>
      <c r="BE140" s="200">
        <f t="shared" si="780"/>
        <v>0</v>
      </c>
      <c r="BF140" s="165">
        <v>0</v>
      </c>
      <c r="BG140" s="100">
        <v>0</v>
      </c>
      <c r="BH140" s="100">
        <v>0</v>
      </c>
      <c r="BI140" s="100">
        <v>0</v>
      </c>
      <c r="BJ140" s="100">
        <v>0</v>
      </c>
      <c r="BK140" s="100">
        <v>0</v>
      </c>
      <c r="BL140" s="100">
        <v>0</v>
      </c>
      <c r="BM140" s="100">
        <v>0</v>
      </c>
      <c r="BN140" s="100">
        <v>0</v>
      </c>
      <c r="BO140" s="100">
        <v>0</v>
      </c>
      <c r="BP140" s="100">
        <v>0</v>
      </c>
      <c r="BQ140" s="200">
        <v>0</v>
      </c>
      <c r="BR140" s="165">
        <f t="shared" si="781"/>
        <v>0</v>
      </c>
      <c r="BS140" s="100">
        <f t="shared" si="782"/>
        <v>0</v>
      </c>
      <c r="BT140" s="100">
        <f t="shared" si="783"/>
        <v>0</v>
      </c>
      <c r="BU140" s="100">
        <f t="shared" si="784"/>
        <v>0</v>
      </c>
      <c r="BV140" s="100">
        <f t="shared" si="785"/>
        <v>0</v>
      </c>
      <c r="BW140" s="100">
        <f t="shared" si="786"/>
        <v>0</v>
      </c>
      <c r="BX140" s="100">
        <f t="shared" si="787"/>
        <v>0</v>
      </c>
      <c r="BY140" s="100">
        <f t="shared" si="788"/>
        <v>0</v>
      </c>
      <c r="BZ140" s="100">
        <f t="shared" si="789"/>
        <v>0</v>
      </c>
      <c r="CA140" s="100">
        <f t="shared" si="790"/>
        <v>0</v>
      </c>
      <c r="CB140" s="100">
        <f t="shared" si="791"/>
        <v>0</v>
      </c>
      <c r="CC140" s="200">
        <f t="shared" si="792"/>
        <v>0</v>
      </c>
      <c r="CD140" s="165">
        <v>0</v>
      </c>
      <c r="CE140" s="100">
        <v>0</v>
      </c>
      <c r="CF140" s="100">
        <v>0</v>
      </c>
      <c r="CG140" s="100">
        <v>0</v>
      </c>
      <c r="CH140" s="100">
        <v>0</v>
      </c>
      <c r="CI140" s="100">
        <v>0</v>
      </c>
      <c r="CJ140" s="100">
        <v>0</v>
      </c>
      <c r="CK140" s="100">
        <v>0</v>
      </c>
      <c r="CL140" s="100">
        <v>0</v>
      </c>
      <c r="CM140" s="100">
        <v>0</v>
      </c>
      <c r="CN140" s="100">
        <v>0</v>
      </c>
      <c r="CO140" s="200">
        <v>0</v>
      </c>
      <c r="CP140" s="165"/>
      <c r="CQ140" s="100"/>
      <c r="CR140" s="100"/>
      <c r="CS140" s="100"/>
      <c r="CT140" s="100"/>
      <c r="CU140" s="100"/>
      <c r="CV140" s="100"/>
      <c r="CW140" s="100"/>
      <c r="CX140" s="100"/>
      <c r="CY140" s="100"/>
      <c r="CZ140" s="100"/>
      <c r="DA140" s="200"/>
      <c r="DB140" s="165">
        <v>0</v>
      </c>
      <c r="DC140" s="100">
        <v>0</v>
      </c>
      <c r="DD140" s="100">
        <v>0</v>
      </c>
      <c r="DE140" s="100">
        <v>0</v>
      </c>
      <c r="DF140" s="100">
        <v>0</v>
      </c>
      <c r="DG140" s="100">
        <v>0</v>
      </c>
      <c r="DH140" s="100">
        <v>0</v>
      </c>
      <c r="DI140" s="100">
        <v>0</v>
      </c>
      <c r="DJ140" s="100">
        <v>0</v>
      </c>
      <c r="DK140" s="100">
        <v>0</v>
      </c>
      <c r="DL140" s="100">
        <v>0</v>
      </c>
      <c r="DM140" s="200"/>
      <c r="DN140" s="165">
        <f t="shared" si="748"/>
        <v>0</v>
      </c>
      <c r="DO140" s="100">
        <f t="shared" si="748"/>
        <v>0</v>
      </c>
      <c r="DP140" s="100">
        <f t="shared" si="793"/>
        <v>0</v>
      </c>
      <c r="DQ140" s="100">
        <f t="shared" si="794"/>
        <v>0</v>
      </c>
      <c r="DR140" s="100">
        <f t="shared" si="795"/>
        <v>0</v>
      </c>
      <c r="DS140" s="100">
        <f t="shared" si="796"/>
        <v>0</v>
      </c>
      <c r="DT140" s="100">
        <f t="shared" si="797"/>
        <v>0</v>
      </c>
      <c r="DU140" s="100">
        <f t="shared" si="798"/>
        <v>0</v>
      </c>
      <c r="DV140" s="100">
        <f t="shared" si="799"/>
        <v>0</v>
      </c>
      <c r="DW140" s="100">
        <f t="shared" si="800"/>
        <v>0</v>
      </c>
      <c r="DX140" s="100">
        <f t="shared" si="801"/>
        <v>0</v>
      </c>
      <c r="DY140" s="200">
        <f t="shared" si="802"/>
        <v>0</v>
      </c>
    </row>
    <row r="141" spans="1:129" ht="15.75" thickBot="1" x14ac:dyDescent="0.3">
      <c r="A141" s="186" t="s">
        <v>39</v>
      </c>
      <c r="B141" s="166">
        <f>SUM(B136:B140)</f>
        <v>0</v>
      </c>
      <c r="C141" s="102">
        <f t="shared" ref="C141:K141" si="804">SUM(C136:C140)</f>
        <v>0</v>
      </c>
      <c r="D141" s="102">
        <f t="shared" si="804"/>
        <v>0</v>
      </c>
      <c r="E141" s="102">
        <f t="shared" si="804"/>
        <v>0</v>
      </c>
      <c r="F141" s="102">
        <f t="shared" si="804"/>
        <v>0</v>
      </c>
      <c r="G141" s="102">
        <f t="shared" si="804"/>
        <v>0</v>
      </c>
      <c r="H141" s="102">
        <f t="shared" si="804"/>
        <v>0</v>
      </c>
      <c r="I141" s="102">
        <f t="shared" si="804"/>
        <v>0</v>
      </c>
      <c r="J141" s="102">
        <f t="shared" si="804"/>
        <v>0</v>
      </c>
      <c r="K141" s="102">
        <f t="shared" si="804"/>
        <v>0</v>
      </c>
      <c r="L141" s="166">
        <f>SUM(L136:L140)</f>
        <v>0</v>
      </c>
      <c r="M141" s="102">
        <f t="shared" ref="M141:W141" si="805">SUM(M136:M140)</f>
        <v>0</v>
      </c>
      <c r="N141" s="102">
        <f t="shared" si="805"/>
        <v>0</v>
      </c>
      <c r="O141" s="102">
        <f t="shared" si="805"/>
        <v>0</v>
      </c>
      <c r="P141" s="102">
        <f t="shared" si="805"/>
        <v>0</v>
      </c>
      <c r="Q141" s="102">
        <f t="shared" si="805"/>
        <v>0</v>
      </c>
      <c r="R141" s="102">
        <f t="shared" si="805"/>
        <v>0</v>
      </c>
      <c r="S141" s="102">
        <f t="shared" si="805"/>
        <v>0</v>
      </c>
      <c r="T141" s="102">
        <f t="shared" si="805"/>
        <v>0</v>
      </c>
      <c r="U141" s="102">
        <f t="shared" si="805"/>
        <v>0</v>
      </c>
      <c r="V141" s="102">
        <f t="shared" si="805"/>
        <v>0</v>
      </c>
      <c r="W141" s="102">
        <f t="shared" si="805"/>
        <v>0</v>
      </c>
      <c r="X141" s="166">
        <f t="shared" ref="X141" si="806">SUM(X136:X140)</f>
        <v>0</v>
      </c>
      <c r="Y141" s="102">
        <f t="shared" ref="Y141" si="807">SUM(Y136:Y140)</f>
        <v>0</v>
      </c>
      <c r="Z141" s="102">
        <f t="shared" ref="Z141" si="808">SUM(Z136:Z140)</f>
        <v>0</v>
      </c>
      <c r="AA141" s="102">
        <f t="shared" ref="AA141" si="809">SUM(AA136:AA140)</f>
        <v>0</v>
      </c>
      <c r="AB141" s="102">
        <f t="shared" ref="AB141" si="810">SUM(AB136:AB140)</f>
        <v>0</v>
      </c>
      <c r="AC141" s="102">
        <f t="shared" ref="AC141" si="811">SUM(AC136:AC140)</f>
        <v>0</v>
      </c>
      <c r="AD141" s="102">
        <f t="shared" ref="AD141" si="812">SUM(AD136:AD140)</f>
        <v>0</v>
      </c>
      <c r="AE141" s="102">
        <f t="shared" ref="AE141" si="813">SUM(AE136:AE140)</f>
        <v>0</v>
      </c>
      <c r="AF141" s="102">
        <f t="shared" ref="AF141" si="814">SUM(AF136:AF140)</f>
        <v>0</v>
      </c>
      <c r="AG141" s="202">
        <f t="shared" ref="AG141" si="815">SUM(AG136:AG140)</f>
        <v>0</v>
      </c>
      <c r="AH141" s="166">
        <f>SUM(AH136:AH140)</f>
        <v>0</v>
      </c>
      <c r="AI141" s="102">
        <f t="shared" ref="AI141:AS141" si="816">SUM(AI136:AI140)</f>
        <v>0</v>
      </c>
      <c r="AJ141" s="102">
        <f t="shared" si="816"/>
        <v>0</v>
      </c>
      <c r="AK141" s="102">
        <f t="shared" si="816"/>
        <v>0</v>
      </c>
      <c r="AL141" s="102">
        <f t="shared" si="816"/>
        <v>0</v>
      </c>
      <c r="AM141" s="102">
        <f t="shared" si="816"/>
        <v>0</v>
      </c>
      <c r="AN141" s="102">
        <f t="shared" si="816"/>
        <v>0</v>
      </c>
      <c r="AO141" s="102">
        <f t="shared" si="816"/>
        <v>0</v>
      </c>
      <c r="AP141" s="102">
        <f t="shared" si="816"/>
        <v>0</v>
      </c>
      <c r="AQ141" s="102">
        <f t="shared" si="816"/>
        <v>0</v>
      </c>
      <c r="AR141" s="102">
        <f t="shared" si="816"/>
        <v>0</v>
      </c>
      <c r="AS141" s="202">
        <f t="shared" si="816"/>
        <v>0</v>
      </c>
      <c r="AT141" s="166">
        <f>SUM(AT136:AT140)</f>
        <v>0</v>
      </c>
      <c r="AU141" s="102">
        <f t="shared" ref="AU141:BE141" si="817">SUM(AU136:AU140)</f>
        <v>0</v>
      </c>
      <c r="AV141" s="102">
        <f t="shared" si="817"/>
        <v>0</v>
      </c>
      <c r="AW141" s="102">
        <f t="shared" si="817"/>
        <v>0</v>
      </c>
      <c r="AX141" s="102">
        <f t="shared" si="817"/>
        <v>0</v>
      </c>
      <c r="AY141" s="102">
        <f t="shared" si="817"/>
        <v>0</v>
      </c>
      <c r="AZ141" s="102">
        <f t="shared" si="817"/>
        <v>0</v>
      </c>
      <c r="BA141" s="102">
        <f t="shared" si="817"/>
        <v>0</v>
      </c>
      <c r="BB141" s="102">
        <f t="shared" si="817"/>
        <v>0</v>
      </c>
      <c r="BC141" s="102">
        <f t="shared" si="817"/>
        <v>0</v>
      </c>
      <c r="BD141" s="102">
        <f t="shared" si="817"/>
        <v>0</v>
      </c>
      <c r="BE141" s="202">
        <f t="shared" si="817"/>
        <v>0</v>
      </c>
      <c r="BF141" s="166">
        <f>SUM(BF136:BF140)</f>
        <v>0</v>
      </c>
      <c r="BG141" s="102">
        <f t="shared" ref="BG141:BQ141" si="818">SUM(BG136:BG140)</f>
        <v>0</v>
      </c>
      <c r="BH141" s="102">
        <f t="shared" si="818"/>
        <v>0</v>
      </c>
      <c r="BI141" s="102">
        <f t="shared" si="818"/>
        <v>0</v>
      </c>
      <c r="BJ141" s="102">
        <f t="shared" si="818"/>
        <v>0</v>
      </c>
      <c r="BK141" s="102">
        <f t="shared" si="818"/>
        <v>0</v>
      </c>
      <c r="BL141" s="102">
        <f t="shared" si="818"/>
        <v>0</v>
      </c>
      <c r="BM141" s="102">
        <f t="shared" si="818"/>
        <v>0</v>
      </c>
      <c r="BN141" s="102">
        <f t="shared" si="818"/>
        <v>0</v>
      </c>
      <c r="BO141" s="102">
        <f t="shared" si="818"/>
        <v>0</v>
      </c>
      <c r="BP141" s="102">
        <f t="shared" si="818"/>
        <v>0</v>
      </c>
      <c r="BQ141" s="202">
        <f t="shared" si="818"/>
        <v>0</v>
      </c>
      <c r="BR141" s="166">
        <f>SUM(BR136:BR140)</f>
        <v>0</v>
      </c>
      <c r="BS141" s="102">
        <f t="shared" ref="BS141:CC141" si="819">SUM(BS136:BS140)</f>
        <v>0</v>
      </c>
      <c r="BT141" s="102">
        <f t="shared" si="819"/>
        <v>0</v>
      </c>
      <c r="BU141" s="102">
        <f t="shared" si="819"/>
        <v>0</v>
      </c>
      <c r="BV141" s="102">
        <f t="shared" si="819"/>
        <v>0</v>
      </c>
      <c r="BW141" s="102">
        <f t="shared" si="819"/>
        <v>0</v>
      </c>
      <c r="BX141" s="102">
        <f t="shared" si="819"/>
        <v>0</v>
      </c>
      <c r="BY141" s="102">
        <f t="shared" si="819"/>
        <v>0</v>
      </c>
      <c r="BZ141" s="102">
        <f t="shared" si="819"/>
        <v>0</v>
      </c>
      <c r="CA141" s="102">
        <f t="shared" si="819"/>
        <v>0</v>
      </c>
      <c r="CB141" s="102">
        <f t="shared" si="819"/>
        <v>0</v>
      </c>
      <c r="CC141" s="202">
        <f t="shared" si="819"/>
        <v>0</v>
      </c>
      <c r="CD141" s="166">
        <f>SUM(CD136:CD140)</f>
        <v>0</v>
      </c>
      <c r="CE141" s="102">
        <f t="shared" ref="CE141:CL141" si="820">SUM(CE136:CE140)</f>
        <v>0</v>
      </c>
      <c r="CF141" s="102">
        <f t="shared" si="820"/>
        <v>0</v>
      </c>
      <c r="CG141" s="102">
        <f t="shared" si="820"/>
        <v>0</v>
      </c>
      <c r="CH141" s="102">
        <f t="shared" si="820"/>
        <v>0</v>
      </c>
      <c r="CI141" s="102">
        <f t="shared" si="820"/>
        <v>0</v>
      </c>
      <c r="CJ141" s="102">
        <f t="shared" si="820"/>
        <v>0</v>
      </c>
      <c r="CK141" s="102">
        <f t="shared" si="820"/>
        <v>0</v>
      </c>
      <c r="CL141" s="102">
        <f t="shared" si="820"/>
        <v>0</v>
      </c>
      <c r="CM141" s="102">
        <f>SUM(CM136:CM140)</f>
        <v>1</v>
      </c>
      <c r="CN141" s="102">
        <f>SUM(CN136:CN140)</f>
        <v>4</v>
      </c>
      <c r="CO141" s="202">
        <f>SUM(CO136:CO140)</f>
        <v>15</v>
      </c>
      <c r="CP141" s="166"/>
      <c r="CQ141" s="102"/>
      <c r="CR141" s="102"/>
      <c r="CS141" s="102"/>
      <c r="CT141" s="102"/>
      <c r="CU141" s="102"/>
      <c r="CV141" s="102"/>
      <c r="CW141" s="102"/>
      <c r="CX141" s="102"/>
      <c r="CY141" s="102"/>
      <c r="CZ141" s="102"/>
      <c r="DA141" s="202"/>
      <c r="DB141" s="166">
        <f t="shared" ref="DB141:DJ141" si="821">SUM(DB136:DB140)</f>
        <v>4</v>
      </c>
      <c r="DC141" s="102">
        <f t="shared" si="821"/>
        <v>4</v>
      </c>
      <c r="DD141" s="102">
        <f t="shared" si="821"/>
        <v>5</v>
      </c>
      <c r="DE141" s="102">
        <f t="shared" si="821"/>
        <v>8</v>
      </c>
      <c r="DF141" s="102">
        <f t="shared" si="821"/>
        <v>8</v>
      </c>
      <c r="DG141" s="102">
        <v>27</v>
      </c>
      <c r="DH141" s="102">
        <f t="shared" si="821"/>
        <v>29</v>
      </c>
      <c r="DI141" s="102">
        <f t="shared" si="821"/>
        <v>28</v>
      </c>
      <c r="DJ141" s="102">
        <f t="shared" si="821"/>
        <v>22</v>
      </c>
      <c r="DK141" s="102">
        <f>SUM(DK136:DK140)</f>
        <v>22</v>
      </c>
      <c r="DL141" s="102">
        <f>SUM(DL136:DL140)</f>
        <v>22</v>
      </c>
      <c r="DM141" s="202">
        <f>SUM(DM136:DM140)</f>
        <v>0</v>
      </c>
      <c r="DN141" s="166">
        <f>SUM(DN136:DN140)</f>
        <v>4</v>
      </c>
      <c r="DO141" s="102">
        <f>SUM(DO136:DO140)</f>
        <v>4</v>
      </c>
      <c r="DP141" s="102">
        <f t="shared" ref="DP141:DY141" si="822">SUM(DP136:DP140)</f>
        <v>5</v>
      </c>
      <c r="DQ141" s="102">
        <f t="shared" si="822"/>
        <v>8</v>
      </c>
      <c r="DR141" s="102">
        <f t="shared" si="822"/>
        <v>8</v>
      </c>
      <c r="DS141" s="102">
        <f t="shared" si="822"/>
        <v>27</v>
      </c>
      <c r="DT141" s="102">
        <f t="shared" si="822"/>
        <v>29</v>
      </c>
      <c r="DU141" s="102">
        <f t="shared" si="822"/>
        <v>28</v>
      </c>
      <c r="DV141" s="102">
        <f t="shared" si="822"/>
        <v>22</v>
      </c>
      <c r="DW141" s="102">
        <f t="shared" si="822"/>
        <v>21</v>
      </c>
      <c r="DX141" s="102">
        <f t="shared" si="822"/>
        <v>18</v>
      </c>
      <c r="DY141" s="202">
        <f t="shared" si="822"/>
        <v>-15</v>
      </c>
    </row>
    <row r="143" spans="1:129" x14ac:dyDescent="0.25">
      <c r="A143" s="1" t="s">
        <v>26</v>
      </c>
    </row>
    <row r="144" spans="1:129" x14ac:dyDescent="0.25">
      <c r="A144" s="39"/>
      <c r="B144" s="205"/>
      <c r="C144" s="205"/>
      <c r="D144" s="205"/>
      <c r="E144" s="205"/>
      <c r="F144" s="205"/>
      <c r="G144" s="205"/>
      <c r="I144" s="205"/>
      <c r="J144" s="205"/>
      <c r="K144" s="205"/>
      <c r="L144" s="205"/>
      <c r="M144" s="205"/>
      <c r="N144" s="205"/>
      <c r="O144" s="205"/>
      <c r="P144" s="205"/>
      <c r="Q144" s="205"/>
      <c r="S144" s="205"/>
      <c r="T144" s="205"/>
      <c r="U144" s="205"/>
      <c r="V144" s="205"/>
      <c r="W144" s="205"/>
      <c r="X144" s="205"/>
      <c r="Y144" s="205"/>
      <c r="Z144" s="205"/>
      <c r="AA144" s="205"/>
      <c r="AC144" s="205"/>
      <c r="AD144" s="205"/>
      <c r="AE144" s="205"/>
      <c r="AF144" s="205"/>
      <c r="AG144" s="205"/>
      <c r="AH144" s="205"/>
      <c r="AI144" s="205"/>
      <c r="AJ144" s="205"/>
      <c r="AK144" s="205"/>
      <c r="AL144" s="205"/>
      <c r="AM144" s="205"/>
      <c r="AO144" s="205"/>
      <c r="AP144" s="205"/>
      <c r="AQ144" s="205"/>
      <c r="AR144" s="205"/>
      <c r="AS144" s="205"/>
      <c r="AT144" s="205"/>
      <c r="AU144" s="205"/>
      <c r="AV144" s="205"/>
      <c r="AW144" s="205"/>
      <c r="AX144" s="205"/>
      <c r="AY144" s="205"/>
      <c r="BA144" s="205"/>
      <c r="BB144" s="205"/>
      <c r="BC144" s="205"/>
      <c r="BD144" s="205"/>
      <c r="BE144" s="205"/>
      <c r="BF144" s="205"/>
      <c r="BG144" s="205"/>
      <c r="BH144" s="205"/>
      <c r="BI144" s="205"/>
      <c r="BJ144" s="205"/>
      <c r="BK144" s="205"/>
      <c r="BM144" s="205"/>
      <c r="BN144" s="205"/>
      <c r="BO144" s="205"/>
      <c r="BP144" s="205"/>
      <c r="BQ144" s="205"/>
      <c r="BR144" s="40"/>
      <c r="BS144" s="205"/>
      <c r="BT144" s="205"/>
      <c r="BU144" s="40"/>
      <c r="BV144" s="40"/>
      <c r="BW144" s="40"/>
      <c r="BY144" s="243"/>
      <c r="BZ144" s="243"/>
      <c r="CA144" s="243"/>
      <c r="CB144" s="243"/>
      <c r="CC144" s="243"/>
      <c r="CD144" s="243"/>
      <c r="CE144" s="243"/>
      <c r="CF144" s="205"/>
      <c r="CG144" s="205"/>
      <c r="CH144" s="205"/>
      <c r="CI144" s="205"/>
      <c r="CK144" s="205"/>
      <c r="CL144" s="205"/>
      <c r="CM144" s="205"/>
      <c r="CN144" s="243"/>
      <c r="CO144" s="243"/>
      <c r="CP144" s="243"/>
      <c r="CQ144" s="243"/>
      <c r="CR144" s="243"/>
      <c r="CS144"/>
      <c r="CT144" s="191"/>
      <c r="CY144" s="244"/>
      <c r="CZ144" s="244"/>
      <c r="DA144" s="244"/>
      <c r="DB144" s="244"/>
      <c r="DC144" s="244"/>
      <c r="DD144" s="205"/>
      <c r="DE144" s="205"/>
      <c r="DF144" s="205"/>
      <c r="DG144" s="205"/>
      <c r="DI144" s="205"/>
      <c r="DJ144" s="205"/>
      <c r="DK144" s="205"/>
      <c r="DN144"/>
      <c r="DO144"/>
      <c r="DP144"/>
      <c r="DQ144"/>
      <c r="DR144" s="191"/>
      <c r="DW144"/>
      <c r="DX144"/>
      <c r="DY144"/>
    </row>
    <row r="147" spans="1:106" x14ac:dyDescent="0.25">
      <c r="A147" s="41" t="s">
        <v>25</v>
      </c>
      <c r="CD147" t="s">
        <v>62</v>
      </c>
      <c r="DB147" t="s">
        <v>62</v>
      </c>
    </row>
    <row r="148" spans="1:106" x14ac:dyDescent="0.25">
      <c r="A148" s="42"/>
      <c r="CD148" t="s">
        <v>63</v>
      </c>
      <c r="DB148" t="s">
        <v>63</v>
      </c>
    </row>
    <row r="149" spans="1:106" x14ac:dyDescent="0.25">
      <c r="A149" s="42"/>
    </row>
    <row r="150" spans="1:106" x14ac:dyDescent="0.25">
      <c r="A150" s="42"/>
    </row>
    <row r="151" spans="1:106" x14ac:dyDescent="0.25">
      <c r="A151" s="42"/>
    </row>
  </sheetData>
  <mergeCells count="12">
    <mergeCell ref="B7:K7"/>
    <mergeCell ref="L7:W7"/>
    <mergeCell ref="AH7:AS7"/>
    <mergeCell ref="BR7:CC7"/>
    <mergeCell ref="BF7:BQ7"/>
    <mergeCell ref="X7:AG7"/>
    <mergeCell ref="AT7:BE7"/>
    <mergeCell ref="BY144:CE144"/>
    <mergeCell ref="CN144:CR144"/>
    <mergeCell ref="CY144:DC144"/>
    <mergeCell ref="CD7:CO7"/>
    <mergeCell ref="DB7:DM7"/>
  </mergeCells>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Lucas Hutchins</cp:lastModifiedBy>
  <cp:lastPrinted>2021-04-23T12:05:36Z</cp:lastPrinted>
  <dcterms:created xsi:type="dcterms:W3CDTF">2020-04-08T09:56:20Z</dcterms:created>
  <dcterms:modified xsi:type="dcterms:W3CDTF">2024-12-18T14:59:34Z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